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LG\Desktop\제4차 상임운영위원회자료\2025년 4차 상임운영위원회 자료(지회)\"/>
    </mc:Choice>
  </mc:AlternateContent>
  <xr:revisionPtr revIDLastSave="0" documentId="13_ncr:1_{C351F3B8-D63C-4418-9C31-3301F869917F}" xr6:coauthVersionLast="45" xr6:coauthVersionMax="45" xr10:uidLastSave="{00000000-0000-0000-0000-000000000000}"/>
  <bookViews>
    <workbookView xWindow="28680" yWindow="-120" windowWidth="24240" windowHeight="13140" tabRatio="737" activeTab="3" xr2:uid="{00000000-000D-0000-FFFF-FFFF00000000}"/>
  </bookViews>
  <sheets>
    <sheet name="비율표" sheetId="1" r:id="rId1"/>
    <sheet name="예산총칙" sheetId="2" r:id="rId2"/>
    <sheet name="예산총괄표" sheetId="3" r:id="rId3"/>
    <sheet name="세입세출" sheetId="4" r:id="rId4"/>
    <sheet name="별첨 인건비 편성내역" sheetId="5" state="hidden" r:id="rId5"/>
  </sheets>
  <definedNames>
    <definedName name="_xlnm.Consolidate_Area" localSheetId="3">세입세출!$A$1:$M$163</definedName>
    <definedName name="_xlnm.Consolidate_Area" localSheetId="2">예산총괄표!$A$1:$N$32</definedName>
    <definedName name="_xlnm.Consolidate_Area" localSheetId="1">예산총칙!$A$2:$J$23</definedName>
    <definedName name="_xlnm.Print_Area" localSheetId="0">비율표!$A$1:$F$12</definedName>
    <definedName name="_xlnm.Print_Area" localSheetId="3">세입세출!$A$1:$M$233</definedName>
    <definedName name="_xlnm.Print_Area" localSheetId="2">예산총괄표!$A$1:$N$64</definedName>
    <definedName name="_xlnm.Print_Area" localSheetId="1">예산총칙!$A$1:$J$23</definedName>
    <definedName name="_xlnm.Print_Titles" localSheetId="2">예산총괄표!$2:$4</definedName>
  </definedNames>
  <calcPr calcId="191029"/>
</workbook>
</file>

<file path=xl/calcChain.xml><?xml version="1.0" encoding="utf-8"?>
<calcChain xmlns="http://schemas.openxmlformats.org/spreadsheetml/2006/main">
  <c r="D6" i="4" l="1"/>
  <c r="D7" i="4"/>
  <c r="D89" i="4" l="1"/>
  <c r="D46" i="4"/>
  <c r="K43" i="3"/>
  <c r="L43" i="3"/>
  <c r="L37" i="3" l="1"/>
  <c r="K37" i="3"/>
  <c r="M37" i="3" l="1"/>
  <c r="N37" i="3" s="1"/>
  <c r="L25" i="3"/>
  <c r="R70" i="4" l="1"/>
  <c r="Q70" i="4"/>
  <c r="Q49" i="4"/>
  <c r="M212" i="4"/>
  <c r="E212" i="4"/>
  <c r="N192" i="4" l="1"/>
  <c r="Q100" i="4"/>
  <c r="P100" i="4"/>
  <c r="P116" i="4"/>
  <c r="Q112" i="4"/>
  <c r="Q111" i="4"/>
  <c r="AB63" i="4"/>
  <c r="AA63" i="4"/>
  <c r="Z63" i="4"/>
  <c r="AP50" i="4"/>
  <c r="AK49" i="4"/>
  <c r="AP49" i="4" s="1"/>
  <c r="AK48" i="4"/>
  <c r="AP48" i="4" s="1"/>
  <c r="AK47" i="4"/>
  <c r="AP47" i="4" s="1"/>
  <c r="AP46" i="4"/>
  <c r="AK45" i="4"/>
  <c r="AP45" i="4" s="1"/>
  <c r="AP42" i="4"/>
  <c r="AI42" i="4"/>
  <c r="AK41" i="4"/>
  <c r="AP41" i="4" s="1"/>
  <c r="AD41" i="4"/>
  <c r="AI41" i="4" s="1"/>
  <c r="AK40" i="4"/>
  <c r="AP40" i="4" s="1"/>
  <c r="AD40" i="4"/>
  <c r="AI40" i="4" s="1"/>
  <c r="AK39" i="4"/>
  <c r="AP39" i="4" s="1"/>
  <c r="AI39" i="4"/>
  <c r="AD39" i="4"/>
  <c r="AP38" i="4"/>
  <c r="AI38" i="4"/>
  <c r="AK37" i="4"/>
  <c r="AP37" i="4" s="1"/>
  <c r="AD37" i="4"/>
  <c r="AI37" i="4" s="1"/>
  <c r="AP34" i="4"/>
  <c r="AI34" i="4"/>
  <c r="AB34" i="4"/>
  <c r="AP33" i="4"/>
  <c r="AD33" i="4"/>
  <c r="AI33" i="4" s="1"/>
  <c r="W33" i="4"/>
  <c r="AB33" i="4" s="1"/>
  <c r="AP32" i="4"/>
  <c r="AD32" i="4"/>
  <c r="AI32" i="4" s="1"/>
  <c r="W32" i="4"/>
  <c r="AB32" i="4" s="1"/>
  <c r="AP31" i="4"/>
  <c r="AD31" i="4"/>
  <c r="AI31" i="4" s="1"/>
  <c r="AB31" i="4"/>
  <c r="W31" i="4"/>
  <c r="AP30" i="4"/>
  <c r="AI30" i="4"/>
  <c r="AB30" i="4"/>
  <c r="AP29" i="4"/>
  <c r="AD29" i="4"/>
  <c r="AI29" i="4" s="1"/>
  <c r="W29" i="4"/>
  <c r="AB29" i="4" s="1"/>
  <c r="AB35" i="4" s="1"/>
  <c r="AF50" i="4" s="1"/>
  <c r="AP51" i="4" l="1"/>
  <c r="AR51" i="4" s="1"/>
  <c r="AE50" i="4" s="1"/>
  <c r="AG50" i="4" s="1"/>
  <c r="S24" i="4" s="1"/>
  <c r="AP35" i="4"/>
  <c r="AI43" i="4"/>
  <c r="AI45" i="4" s="1"/>
  <c r="AI35" i="4"/>
  <c r="AP43" i="4"/>
  <c r="AR43" i="4" s="1"/>
  <c r="AE49" i="4" s="1"/>
  <c r="R24" i="4" s="1"/>
  <c r="AE48" i="4" l="1"/>
  <c r="P24" i="4" s="1"/>
  <c r="AE47" i="4"/>
  <c r="N59" i="4" l="1"/>
  <c r="W62" i="4"/>
  <c r="W61" i="4"/>
  <c r="W60" i="4"/>
  <c r="N49" i="4"/>
  <c r="R21" i="4" s="1"/>
  <c r="D216" i="4"/>
  <c r="D215" i="4" s="1"/>
  <c r="D208" i="4"/>
  <c r="D207" i="4"/>
  <c r="D202" i="4"/>
  <c r="D191" i="4"/>
  <c r="D186" i="4"/>
  <c r="D94" i="4"/>
  <c r="D79" i="4"/>
  <c r="D78" i="4"/>
  <c r="D66" i="4"/>
  <c r="D62" i="4"/>
  <c r="D52" i="4"/>
  <c r="E30" i="4"/>
  <c r="D24" i="4"/>
  <c r="D25" i="4"/>
  <c r="E13" i="4" l="1"/>
  <c r="H9" i="4"/>
  <c r="D17" i="4"/>
  <c r="D16" i="4"/>
  <c r="D15" i="4"/>
  <c r="D8" i="4"/>
  <c r="M60" i="4" l="1"/>
  <c r="D212" i="4"/>
  <c r="D107" i="4"/>
  <c r="D47" i="4"/>
  <c r="M214" i="4" l="1"/>
  <c r="E214" i="4" s="1"/>
  <c r="F214" i="4" s="1"/>
  <c r="V108" i="4" l="1"/>
  <c r="M59" i="4"/>
  <c r="M58" i="4"/>
  <c r="D213" i="4" l="1"/>
  <c r="D154" i="4"/>
  <c r="D146" i="4"/>
  <c r="D102" i="4"/>
  <c r="D39" i="4"/>
  <c r="D37" i="4"/>
  <c r="D36" i="4"/>
  <c r="D31" i="4"/>
  <c r="D30" i="4"/>
  <c r="D29" i="4"/>
  <c r="D10" i="4"/>
  <c r="W12" i="4" l="1"/>
  <c r="AA12" i="4"/>
  <c r="Z12" i="4"/>
  <c r="Y12" i="4"/>
  <c r="X12" i="4"/>
  <c r="H216" i="4"/>
  <c r="R74" i="4"/>
  <c r="O215" i="4" s="1"/>
  <c r="Q74" i="4"/>
  <c r="N215" i="4" s="1"/>
  <c r="N13" i="4"/>
  <c r="P5" i="4" s="1"/>
  <c r="D194" i="4"/>
  <c r="D179" i="4"/>
  <c r="D172" i="4"/>
  <c r="D168" i="4"/>
  <c r="D164" i="4"/>
  <c r="D135" i="4"/>
  <c r="D128" i="4"/>
  <c r="D120" i="4"/>
  <c r="D117" i="4"/>
  <c r="D116" i="4" s="1"/>
  <c r="D112" i="4"/>
  <c r="D90" i="4"/>
  <c r="D82" i="4"/>
  <c r="D45" i="4"/>
  <c r="D74" i="4"/>
  <c r="D38" i="4"/>
  <c r="D23" i="4"/>
  <c r="D5" i="4" s="1"/>
  <c r="D5" i="3" s="1"/>
  <c r="D21" i="4"/>
  <c r="D13" i="4"/>
  <c r="AB12" i="4" l="1"/>
  <c r="D127" i="4"/>
  <c r="Q116" i="4" l="1"/>
  <c r="D211" i="4" l="1"/>
  <c r="D210" i="4"/>
  <c r="D44" i="4" s="1"/>
  <c r="Y11" i="4" l="1"/>
  <c r="X11" i="4"/>
  <c r="W11" i="4"/>
  <c r="AB11" i="4" s="1"/>
  <c r="S74" i="4"/>
  <c r="U72" i="4"/>
  <c r="P215" i="4" l="1"/>
  <c r="M57" i="4" l="1"/>
  <c r="T78" i="4" l="1"/>
  <c r="Y9" i="4" l="1"/>
  <c r="Y10" i="4"/>
  <c r="X9" i="4"/>
  <c r="X10" i="4"/>
  <c r="M35" i="4" l="1"/>
  <c r="R14" i="4" s="1"/>
  <c r="M34" i="4"/>
  <c r="Q13" i="4" s="1"/>
  <c r="Y74" i="4" l="1"/>
  <c r="X74" i="4"/>
  <c r="K42" i="3" l="1"/>
  <c r="K45" i="3"/>
  <c r="S78" i="4" l="1"/>
  <c r="Q78" i="4"/>
  <c r="P78" i="4"/>
  <c r="U77" i="4"/>
  <c r="R78" i="4"/>
  <c r="M213" i="4"/>
  <c r="E20" i="2" l="1"/>
  <c r="E213" i="4"/>
  <c r="AB13" i="4"/>
  <c r="U78" i="4"/>
  <c r="U76" i="4"/>
  <c r="K44" i="3"/>
  <c r="F213" i="4" l="1"/>
  <c r="M216" i="4"/>
  <c r="F212" i="4" l="1"/>
  <c r="L42" i="3"/>
  <c r="E11" i="1" s="1"/>
  <c r="M55" i="4" l="1"/>
  <c r="P22" i="4" l="1"/>
  <c r="N58" i="4"/>
  <c r="M20" i="4"/>
  <c r="T6" i="4" s="1"/>
  <c r="F20" i="4"/>
  <c r="M72" i="4" l="1"/>
  <c r="U24" i="4" l="1"/>
  <c r="R151" i="4"/>
  <c r="Q151" i="4"/>
  <c r="P151" i="4"/>
  <c r="P49" i="4" s="1"/>
  <c r="S150" i="4"/>
  <c r="S149" i="4"/>
  <c r="S148" i="4"/>
  <c r="S147" i="4"/>
  <c r="S146" i="4"/>
  <c r="R123" i="4"/>
  <c r="Q123" i="4"/>
  <c r="P123" i="4"/>
  <c r="S122" i="4"/>
  <c r="S121" i="4"/>
  <c r="R118" i="4"/>
  <c r="Q118" i="4"/>
  <c r="Q38" i="4" s="1"/>
  <c r="P118" i="4"/>
  <c r="P38" i="4" s="1"/>
  <c r="S117" i="4"/>
  <c r="S116" i="4"/>
  <c r="R113" i="4"/>
  <c r="Q113" i="4"/>
  <c r="Q37" i="4" s="1"/>
  <c r="P113" i="4"/>
  <c r="P37" i="4" s="1"/>
  <c r="S112" i="4"/>
  <c r="S111" i="4"/>
  <c r="S110" i="4"/>
  <c r="R107" i="4"/>
  <c r="Q107" i="4"/>
  <c r="Q36" i="4" s="1"/>
  <c r="P107" i="4"/>
  <c r="P36" i="4" s="1"/>
  <c r="S106" i="4"/>
  <c r="S105" i="4"/>
  <c r="S104" i="4"/>
  <c r="R101" i="4"/>
  <c r="R35" i="4" s="1"/>
  <c r="R39" i="4" s="1"/>
  <c r="Q101" i="4"/>
  <c r="Q35" i="4" s="1"/>
  <c r="S100" i="4"/>
  <c r="S99" i="4"/>
  <c r="V98" i="4"/>
  <c r="S98" i="4"/>
  <c r="V97" i="4"/>
  <c r="S97" i="4"/>
  <c r="S96" i="4"/>
  <c r="P101" i="4"/>
  <c r="P35" i="4" s="1"/>
  <c r="P74" i="4"/>
  <c r="U74" i="4" s="1"/>
  <c r="U70" i="4"/>
  <c r="S68" i="4"/>
  <c r="Z8" i="4" s="1"/>
  <c r="Q68" i="4"/>
  <c r="X8" i="4" s="1"/>
  <c r="U67" i="4"/>
  <c r="U66" i="4"/>
  <c r="R63" i="4"/>
  <c r="Y7" i="4" s="1"/>
  <c r="Q63" i="4"/>
  <c r="X7" i="4" s="1"/>
  <c r="P63" i="4"/>
  <c r="W7" i="4" s="1"/>
  <c r="U62" i="4"/>
  <c r="T59" i="4"/>
  <c r="S126" i="4" s="1"/>
  <c r="S59" i="4"/>
  <c r="R59" i="4"/>
  <c r="Q59" i="4"/>
  <c r="P59" i="4"/>
  <c r="U58" i="4"/>
  <c r="U57" i="4"/>
  <c r="U56" i="4"/>
  <c r="U55" i="4"/>
  <c r="U54" i="4"/>
  <c r="U53" i="4"/>
  <c r="U52" i="4"/>
  <c r="U51" i="4"/>
  <c r="U50" i="4"/>
  <c r="U49" i="4"/>
  <c r="U48" i="4"/>
  <c r="U47" i="4"/>
  <c r="S44" i="4"/>
  <c r="Z5" i="4" s="1"/>
  <c r="R44" i="4"/>
  <c r="Q44" i="4"/>
  <c r="P44" i="4"/>
  <c r="W5" i="4" s="1"/>
  <c r="U43" i="4"/>
  <c r="U42" i="4"/>
  <c r="U34" i="4"/>
  <c r="S31" i="4"/>
  <c r="Q31" i="4"/>
  <c r="P31" i="4"/>
  <c r="S30" i="4"/>
  <c r="Q30" i="4"/>
  <c r="P30" i="4"/>
  <c r="Q26" i="4"/>
  <c r="T16" i="4"/>
  <c r="U11" i="4"/>
  <c r="W10" i="4"/>
  <c r="Z9" i="4"/>
  <c r="W9" i="4"/>
  <c r="Y8" i="4"/>
  <c r="W8" i="4"/>
  <c r="Z7" i="4"/>
  <c r="U5" i="4"/>
  <c r="W6" i="4" l="1"/>
  <c r="O126" i="4"/>
  <c r="Y6" i="4"/>
  <c r="Q126" i="4"/>
  <c r="Z6" i="4"/>
  <c r="R126" i="4"/>
  <c r="Q39" i="4"/>
  <c r="X6" i="4"/>
  <c r="AB6" i="4" s="1"/>
  <c r="P126" i="4"/>
  <c r="U38" i="4"/>
  <c r="X5" i="4"/>
  <c r="Y5" i="4"/>
  <c r="P39" i="4"/>
  <c r="N86" i="4" s="1"/>
  <c r="U37" i="4"/>
  <c r="T82" i="4"/>
  <c r="AA16" i="4"/>
  <c r="T80" i="4"/>
  <c r="U36" i="4"/>
  <c r="U35" i="4"/>
  <c r="S107" i="4"/>
  <c r="S123" i="4"/>
  <c r="S151" i="4"/>
  <c r="S113" i="4"/>
  <c r="U68" i="4"/>
  <c r="U63" i="4"/>
  <c r="U44" i="4"/>
  <c r="AB7" i="4"/>
  <c r="S95" i="4"/>
  <c r="S118" i="4"/>
  <c r="AB8" i="4"/>
  <c r="U59" i="4"/>
  <c r="T126" i="4" s="1"/>
  <c r="AB10" i="4"/>
  <c r="S101" i="4"/>
  <c r="U71" i="4"/>
  <c r="AB5" i="4" l="1"/>
  <c r="T83" i="4"/>
  <c r="Q80" i="4"/>
  <c r="O86" i="4"/>
  <c r="P86" i="4" s="1"/>
  <c r="X4" i="4"/>
  <c r="X20" i="4" s="1"/>
  <c r="AB9" i="4"/>
  <c r="U39" i="4"/>
  <c r="M196" i="4" l="1"/>
  <c r="M195" i="4"/>
  <c r="M194" i="4" l="1"/>
  <c r="K5" i="3" l="1"/>
  <c r="M205" i="4"/>
  <c r="M204" i="4"/>
  <c r="M203" i="4" l="1"/>
  <c r="G202" i="4" s="1"/>
  <c r="U14" i="4"/>
  <c r="U13" i="4"/>
  <c r="M33" i="4"/>
  <c r="R10" i="4" s="1"/>
  <c r="M32" i="4"/>
  <c r="Q9" i="4" l="1"/>
  <c r="U9" i="4" s="1"/>
  <c r="G31" i="4"/>
  <c r="E31" i="4" s="1"/>
  <c r="E202" i="4"/>
  <c r="F202" i="4" s="1"/>
  <c r="M56" i="4"/>
  <c r="G30" i="4" l="1"/>
  <c r="M184" i="4"/>
  <c r="M148" i="4"/>
  <c r="M141" i="4"/>
  <c r="M113" i="4" l="1"/>
  <c r="M97" i="4" l="1"/>
  <c r="M54" i="4"/>
  <c r="S22" i="4" s="1"/>
  <c r="M9" i="4" l="1"/>
  <c r="M11" i="4"/>
  <c r="M12" i="4"/>
  <c r="F13" i="4"/>
  <c r="M14" i="4"/>
  <c r="F18" i="4"/>
  <c r="M18" i="4"/>
  <c r="F19" i="4"/>
  <c r="M19" i="4"/>
  <c r="F22" i="4"/>
  <c r="M22" i="4"/>
  <c r="F26" i="4"/>
  <c r="M26" i="4"/>
  <c r="F27" i="4"/>
  <c r="M27" i="4"/>
  <c r="F28" i="4"/>
  <c r="M28" i="4"/>
  <c r="M38" i="4"/>
  <c r="E38" i="4" s="1"/>
  <c r="F38" i="4" s="1"/>
  <c r="M39" i="4"/>
  <c r="E39" i="4" s="1"/>
  <c r="F39" i="4" s="1"/>
  <c r="S16" i="4" l="1"/>
  <c r="G17" i="4"/>
  <c r="G21" i="4"/>
  <c r="Q7" i="4"/>
  <c r="U7" i="4" s="1"/>
  <c r="G10" i="4"/>
  <c r="G7" i="4"/>
  <c r="G6" i="4" s="1"/>
  <c r="G8" i="4"/>
  <c r="G37" i="4"/>
  <c r="G25" i="4"/>
  <c r="E10" i="4" l="1"/>
  <c r="F10" i="4" s="1"/>
  <c r="N10" i="4"/>
  <c r="P4" i="4" s="1"/>
  <c r="U4" i="4" s="1"/>
  <c r="Q16" i="4"/>
  <c r="X15" i="4" s="1"/>
  <c r="S82" i="4"/>
  <c r="E8" i="4"/>
  <c r="F8" i="4" s="1"/>
  <c r="N8" i="4"/>
  <c r="P3" i="4" s="1"/>
  <c r="E21" i="4"/>
  <c r="G16" i="4"/>
  <c r="E16" i="4" s="1"/>
  <c r="F16" i="4" s="1"/>
  <c r="U6" i="4"/>
  <c r="E25" i="4"/>
  <c r="F25" i="4" s="1"/>
  <c r="R8" i="4"/>
  <c r="G36" i="4"/>
  <c r="U15" i="4"/>
  <c r="E37" i="4"/>
  <c r="E36" i="4" s="1"/>
  <c r="E7" i="4"/>
  <c r="F7" i="4" s="1"/>
  <c r="E17" i="4"/>
  <c r="F17" i="4" s="1"/>
  <c r="G24" i="4"/>
  <c r="G23" i="4"/>
  <c r="G29" i="4"/>
  <c r="E6" i="4"/>
  <c r="F31" i="4"/>
  <c r="E5" i="2"/>
  <c r="E7" i="2"/>
  <c r="Q18" i="4" l="1"/>
  <c r="Q17" i="4"/>
  <c r="Q82" i="4"/>
  <c r="Q83" i="4" s="1"/>
  <c r="P16" i="4"/>
  <c r="U3" i="4"/>
  <c r="E11" i="2"/>
  <c r="E24" i="4"/>
  <c r="E23" i="4" s="1"/>
  <c r="F23" i="4" s="1"/>
  <c r="F21" i="4"/>
  <c r="G15" i="4"/>
  <c r="E15" i="4" s="1"/>
  <c r="F15" i="4" s="1"/>
  <c r="U8" i="4"/>
  <c r="R16" i="4"/>
  <c r="Y15" i="4" s="1"/>
  <c r="F37" i="4"/>
  <c r="F6" i="4"/>
  <c r="E29" i="4"/>
  <c r="F30" i="4"/>
  <c r="K41" i="3"/>
  <c r="K40" i="3"/>
  <c r="K39" i="3"/>
  <c r="K38" i="3"/>
  <c r="K36" i="3"/>
  <c r="K35" i="3"/>
  <c r="K34" i="3"/>
  <c r="K33" i="3"/>
  <c r="K32" i="3"/>
  <c r="K31" i="3"/>
  <c r="K30" i="3"/>
  <c r="K29" i="3"/>
  <c r="K28" i="3"/>
  <c r="K26" i="3"/>
  <c r="K27" i="3"/>
  <c r="K24" i="3"/>
  <c r="K23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7" i="3"/>
  <c r="K8" i="3"/>
  <c r="P82" i="4" l="1"/>
  <c r="W15" i="4"/>
  <c r="AB15" i="4" s="1"/>
  <c r="R18" i="4"/>
  <c r="F24" i="4"/>
  <c r="F36" i="4"/>
  <c r="M5" i="4"/>
  <c r="U16" i="4"/>
  <c r="F29" i="4"/>
  <c r="E5" i="4"/>
  <c r="F5" i="4" s="1"/>
  <c r="R82" i="4"/>
  <c r="K22" i="3"/>
  <c r="K25" i="3"/>
  <c r="E14" i="3"/>
  <c r="D14" i="3"/>
  <c r="E23" i="3"/>
  <c r="E22" i="3"/>
  <c r="E21" i="3"/>
  <c r="E8" i="3"/>
  <c r="D8" i="3"/>
  <c r="E10" i="3"/>
  <c r="D10" i="3"/>
  <c r="E7" i="3"/>
  <c r="E6" i="3"/>
  <c r="B7" i="1" s="1"/>
  <c r="D6" i="3"/>
  <c r="D21" i="3"/>
  <c r="D23" i="3"/>
  <c r="D22" i="3"/>
  <c r="D20" i="3"/>
  <c r="D19" i="3"/>
  <c r="D18" i="3"/>
  <c r="D17" i="3"/>
  <c r="D16" i="3"/>
  <c r="D15" i="3"/>
  <c r="D13" i="3"/>
  <c r="D12" i="3"/>
  <c r="D11" i="3"/>
  <c r="D9" i="3"/>
  <c r="D7" i="3"/>
  <c r="U82" i="4" l="1"/>
  <c r="E5" i="3"/>
  <c r="F5" i="3" s="1"/>
  <c r="M142" i="4" l="1"/>
  <c r="M139" i="4"/>
  <c r="M137" i="4"/>
  <c r="M136" i="4" s="1"/>
  <c r="M103" i="4"/>
  <c r="M215" i="4" l="1"/>
  <c r="E216" i="4"/>
  <c r="M43" i="3" l="1"/>
  <c r="L45" i="3"/>
  <c r="M45" i="3" s="1"/>
  <c r="N45" i="3" s="1"/>
  <c r="E21" i="2"/>
  <c r="E215" i="4"/>
  <c r="L44" i="3" s="1"/>
  <c r="F216" i="4"/>
  <c r="E12" i="1" l="1"/>
  <c r="M44" i="3"/>
  <c r="N44" i="3" s="1"/>
  <c r="F215" i="4"/>
  <c r="M42" i="3" l="1"/>
  <c r="M211" i="4" l="1"/>
  <c r="M208" i="4"/>
  <c r="E208" i="4" s="1"/>
  <c r="L39" i="3" s="1"/>
  <c r="M39" i="3" s="1"/>
  <c r="N39" i="3" s="1"/>
  <c r="E194" i="4"/>
  <c r="M192" i="4"/>
  <c r="M191" i="4" s="1"/>
  <c r="E191" i="4" s="1"/>
  <c r="M189" i="4"/>
  <c r="M188" i="4"/>
  <c r="H183" i="4"/>
  <c r="M182" i="4"/>
  <c r="M181" i="4"/>
  <c r="M177" i="4"/>
  <c r="M176" i="4" s="1"/>
  <c r="M175" i="4"/>
  <c r="M174" i="4"/>
  <c r="M170" i="4"/>
  <c r="M169" i="4" s="1"/>
  <c r="G168" i="4" s="1"/>
  <c r="E168" i="4" s="1"/>
  <c r="M166" i="4"/>
  <c r="M165" i="4" s="1"/>
  <c r="G164" i="4" s="1"/>
  <c r="E164" i="4" s="1"/>
  <c r="M158" i="4"/>
  <c r="M157" i="4"/>
  <c r="M156" i="4"/>
  <c r="M152" i="4"/>
  <c r="M151" i="4"/>
  <c r="M150" i="4"/>
  <c r="M149" i="4"/>
  <c r="M144" i="4"/>
  <c r="M143" i="4" s="1"/>
  <c r="M140" i="4"/>
  <c r="M138" i="4"/>
  <c r="M133" i="4"/>
  <c r="M132" i="4"/>
  <c r="M131" i="4"/>
  <c r="M130" i="4"/>
  <c r="M121" i="4"/>
  <c r="G120" i="4" s="1"/>
  <c r="E120" i="4" s="1"/>
  <c r="M118" i="4"/>
  <c r="G117" i="4" s="1"/>
  <c r="E117" i="4" s="1"/>
  <c r="L23" i="3" s="1"/>
  <c r="M23" i="3" s="1"/>
  <c r="N23" i="3" s="1"/>
  <c r="M114" i="4"/>
  <c r="M110" i="4"/>
  <c r="M109" i="4"/>
  <c r="M108" i="4"/>
  <c r="M105" i="4"/>
  <c r="M104" i="4"/>
  <c r="M100" i="4"/>
  <c r="M99" i="4"/>
  <c r="M98" i="4"/>
  <c r="M96" i="4"/>
  <c r="M95" i="4"/>
  <c r="M92" i="4"/>
  <c r="M91" i="4"/>
  <c r="M83" i="4"/>
  <c r="G82" i="4" s="1"/>
  <c r="M80" i="4"/>
  <c r="G79" i="4" s="1"/>
  <c r="R29" i="4" s="1"/>
  <c r="M76" i="4"/>
  <c r="M75" i="4"/>
  <c r="M53" i="4"/>
  <c r="M50" i="4"/>
  <c r="S21" i="4" s="1"/>
  <c r="M49" i="4"/>
  <c r="H64" i="4" s="1"/>
  <c r="M48" i="4"/>
  <c r="N48" i="4" s="1"/>
  <c r="P21" i="4" s="1"/>
  <c r="F23" i="3"/>
  <c r="G23" i="3" s="1"/>
  <c r="F22" i="3"/>
  <c r="G22" i="3" s="1"/>
  <c r="F21" i="3"/>
  <c r="G21" i="3" s="1"/>
  <c r="N14" i="3"/>
  <c r="F14" i="3"/>
  <c r="G14" i="3" s="1"/>
  <c r="F10" i="3"/>
  <c r="G10" i="3" s="1"/>
  <c r="F8" i="3"/>
  <c r="G8" i="3" s="1"/>
  <c r="K6" i="3"/>
  <c r="F6" i="3"/>
  <c r="G6" i="3" s="1"/>
  <c r="G5" i="3"/>
  <c r="R22" i="4" l="1"/>
  <c r="G52" i="4"/>
  <c r="N60" i="4"/>
  <c r="H67" i="4"/>
  <c r="M64" i="4"/>
  <c r="R23" i="4" s="1"/>
  <c r="H63" i="4"/>
  <c r="M63" i="4" s="1"/>
  <c r="M67" i="4"/>
  <c r="E52" i="4"/>
  <c r="L9" i="3" s="1"/>
  <c r="U22" i="4"/>
  <c r="G47" i="4"/>
  <c r="E47" i="4" s="1"/>
  <c r="S26" i="4"/>
  <c r="S80" i="4" s="1"/>
  <c r="U29" i="4"/>
  <c r="U21" i="4"/>
  <c r="E82" i="4"/>
  <c r="F82" i="4" s="1"/>
  <c r="R30" i="4"/>
  <c r="U30" i="4" s="1"/>
  <c r="H187" i="4"/>
  <c r="G186" i="4" s="1"/>
  <c r="E186" i="4" s="1"/>
  <c r="F186" i="4" s="1"/>
  <c r="M155" i="4"/>
  <c r="G154" i="4" s="1"/>
  <c r="E154" i="4" s="1"/>
  <c r="F154" i="4" s="1"/>
  <c r="F120" i="4"/>
  <c r="L24" i="3"/>
  <c r="M24" i="3" s="1"/>
  <c r="N24" i="3" s="1"/>
  <c r="F168" i="4"/>
  <c r="L31" i="3"/>
  <c r="M31" i="3" s="1"/>
  <c r="N31" i="3" s="1"/>
  <c r="F164" i="4"/>
  <c r="L30" i="3"/>
  <c r="M30" i="3" s="1"/>
  <c r="N30" i="3" s="1"/>
  <c r="F191" i="4"/>
  <c r="L35" i="3"/>
  <c r="M35" i="3" s="1"/>
  <c r="G74" i="4"/>
  <c r="F194" i="4"/>
  <c r="L36" i="3"/>
  <c r="M36" i="3" s="1"/>
  <c r="N36" i="3" s="1"/>
  <c r="M173" i="4"/>
  <c r="G172" i="4" s="1"/>
  <c r="E172" i="4" s="1"/>
  <c r="G112" i="4"/>
  <c r="E112" i="4" s="1"/>
  <c r="G90" i="4"/>
  <c r="E90" i="4" s="1"/>
  <c r="M129" i="4"/>
  <c r="G128" i="4" s="1"/>
  <c r="H180" i="4"/>
  <c r="G179" i="4" s="1"/>
  <c r="E179" i="4" s="1"/>
  <c r="G102" i="4"/>
  <c r="E102" i="4" s="1"/>
  <c r="M107" i="4"/>
  <c r="E107" i="4" s="1"/>
  <c r="G135" i="4"/>
  <c r="E135" i="4" s="1"/>
  <c r="B11" i="1"/>
  <c r="M147" i="4"/>
  <c r="G146" i="4" s="1"/>
  <c r="E146" i="4" s="1"/>
  <c r="G94" i="4"/>
  <c r="E94" i="4" s="1"/>
  <c r="E10" i="2"/>
  <c r="E79" i="4"/>
  <c r="L14" i="3" s="1"/>
  <c r="M78" i="4"/>
  <c r="E14" i="2" s="1"/>
  <c r="F117" i="4"/>
  <c r="E116" i="4"/>
  <c r="E6" i="2"/>
  <c r="F208" i="4"/>
  <c r="E207" i="4"/>
  <c r="E9" i="2"/>
  <c r="M210" i="4"/>
  <c r="E19" i="2" s="1"/>
  <c r="E211" i="4"/>
  <c r="L41" i="3" s="1"/>
  <c r="M41" i="3" s="1"/>
  <c r="N41" i="3" s="1"/>
  <c r="M116" i="4"/>
  <c r="E16" i="2" s="1"/>
  <c r="M207" i="4"/>
  <c r="E18" i="2" s="1"/>
  <c r="N63" i="4" l="1"/>
  <c r="P23" i="4"/>
  <c r="U23" i="4" s="1"/>
  <c r="G62" i="4"/>
  <c r="E62" i="4" s="1"/>
  <c r="L10" i="3" s="1"/>
  <c r="M10" i="3" s="1"/>
  <c r="N10" i="3" s="1"/>
  <c r="E74" i="4"/>
  <c r="R25" i="4"/>
  <c r="U25" i="4" s="1"/>
  <c r="Z4" i="4"/>
  <c r="Z16" i="4" s="1"/>
  <c r="X14" i="4"/>
  <c r="L15" i="3"/>
  <c r="M15" i="3" s="1"/>
  <c r="N15" i="3" s="1"/>
  <c r="H68" i="4"/>
  <c r="M68" i="4" s="1"/>
  <c r="R31" i="4"/>
  <c r="L8" i="3"/>
  <c r="M8" i="3" s="1"/>
  <c r="N8" i="3" s="1"/>
  <c r="F47" i="4"/>
  <c r="E128" i="4"/>
  <c r="F128" i="4" s="1"/>
  <c r="M127" i="4"/>
  <c r="E17" i="2" s="1"/>
  <c r="L34" i="3"/>
  <c r="M34" i="3" s="1"/>
  <c r="N34" i="3" s="1"/>
  <c r="L29" i="3"/>
  <c r="M29" i="3" s="1"/>
  <c r="N29" i="3" s="1"/>
  <c r="F179" i="4"/>
  <c r="L33" i="3"/>
  <c r="M33" i="3" s="1"/>
  <c r="N33" i="3" s="1"/>
  <c r="F107" i="4"/>
  <c r="L20" i="3"/>
  <c r="M20" i="3" s="1"/>
  <c r="N20" i="3" s="1"/>
  <c r="F172" i="4"/>
  <c r="L32" i="3"/>
  <c r="M32" i="3" s="1"/>
  <c r="N32" i="3" s="1"/>
  <c r="F74" i="4"/>
  <c r="L12" i="3"/>
  <c r="M12" i="3" s="1"/>
  <c r="N12" i="3" s="1"/>
  <c r="F135" i="4"/>
  <c r="L27" i="3"/>
  <c r="M27" i="3" s="1"/>
  <c r="N27" i="3" s="1"/>
  <c r="F207" i="4"/>
  <c r="L38" i="3"/>
  <c r="F146" i="4"/>
  <c r="L28" i="3"/>
  <c r="M28" i="3" s="1"/>
  <c r="N28" i="3" s="1"/>
  <c r="F102" i="4"/>
  <c r="L19" i="3"/>
  <c r="M19" i="3" s="1"/>
  <c r="N19" i="3" s="1"/>
  <c r="F116" i="4"/>
  <c r="L22" i="3"/>
  <c r="F112" i="4"/>
  <c r="L21" i="3"/>
  <c r="M21" i="3" s="1"/>
  <c r="N21" i="3" s="1"/>
  <c r="F94" i="4"/>
  <c r="L18" i="3"/>
  <c r="M18" i="3" s="1"/>
  <c r="N18" i="3" s="1"/>
  <c r="F90" i="4"/>
  <c r="L17" i="3"/>
  <c r="M17" i="3" s="1"/>
  <c r="N17" i="3" s="1"/>
  <c r="H71" i="4"/>
  <c r="M71" i="4" s="1"/>
  <c r="M89" i="4"/>
  <c r="E15" i="2" s="1"/>
  <c r="E17" i="3"/>
  <c r="F17" i="3" s="1"/>
  <c r="G17" i="3" s="1"/>
  <c r="E9" i="3"/>
  <c r="F9" i="3" s="1"/>
  <c r="G9" i="3" s="1"/>
  <c r="F52" i="4"/>
  <c r="M9" i="3"/>
  <c r="N9" i="3" s="1"/>
  <c r="F79" i="4"/>
  <c r="E78" i="4"/>
  <c r="L13" i="3" s="1"/>
  <c r="F211" i="4"/>
  <c r="E210" i="4"/>
  <c r="E20" i="3"/>
  <c r="F20" i="3" s="1"/>
  <c r="G20" i="3" s="1"/>
  <c r="X17" i="4" l="1"/>
  <c r="R26" i="4"/>
  <c r="R80" i="4" s="1"/>
  <c r="R83" i="4" s="1"/>
  <c r="S83" i="4"/>
  <c r="U31" i="4"/>
  <c r="F62" i="4"/>
  <c r="L26" i="3"/>
  <c r="M26" i="3" s="1"/>
  <c r="N26" i="3" s="1"/>
  <c r="E127" i="4"/>
  <c r="M38" i="3"/>
  <c r="N38" i="3" s="1"/>
  <c r="F210" i="4"/>
  <c r="L40" i="3"/>
  <c r="M40" i="3" s="1"/>
  <c r="N40" i="3" s="1"/>
  <c r="E8" i="1"/>
  <c r="M22" i="3"/>
  <c r="N22" i="3" s="1"/>
  <c r="H70" i="4"/>
  <c r="M70" i="4" s="1"/>
  <c r="H69" i="4"/>
  <c r="M69" i="4" s="1"/>
  <c r="E89" i="4"/>
  <c r="E13" i="3"/>
  <c r="F13" i="3" s="1"/>
  <c r="G13" i="3" s="1"/>
  <c r="F7" i="3"/>
  <c r="G7" i="3" s="1"/>
  <c r="E8" i="2"/>
  <c r="F78" i="4"/>
  <c r="M13" i="3"/>
  <c r="N13" i="3" s="1"/>
  <c r="E12" i="3"/>
  <c r="F12" i="3" s="1"/>
  <c r="G12" i="3" s="1"/>
  <c r="E16" i="3"/>
  <c r="F16" i="3" s="1"/>
  <c r="G16" i="3" s="1"/>
  <c r="E19" i="3"/>
  <c r="F19" i="3" s="1"/>
  <c r="G19" i="3" s="1"/>
  <c r="E18" i="3"/>
  <c r="X16" i="4" l="1"/>
  <c r="Y4" i="4"/>
  <c r="Y14" i="4" s="1"/>
  <c r="G66" i="4"/>
  <c r="F127" i="4"/>
  <c r="F89" i="4"/>
  <c r="L16" i="3"/>
  <c r="M16" i="3" s="1"/>
  <c r="N16" i="3" s="1"/>
  <c r="E9" i="1"/>
  <c r="M25" i="3"/>
  <c r="N25" i="3" s="1"/>
  <c r="E10" i="1"/>
  <c r="B10" i="1"/>
  <c r="F18" i="3"/>
  <c r="G18" i="3" s="1"/>
  <c r="E15" i="3"/>
  <c r="E11" i="3"/>
  <c r="Y16" i="4" l="1"/>
  <c r="P26" i="4"/>
  <c r="W4" i="4" s="1"/>
  <c r="M46" i="4"/>
  <c r="E13" i="2" s="1"/>
  <c r="E66" i="4"/>
  <c r="L11" i="3" s="1"/>
  <c r="M11" i="3" s="1"/>
  <c r="N11" i="3" s="1"/>
  <c r="E46" i="4"/>
  <c r="F15" i="3"/>
  <c r="G15" i="3" s="1"/>
  <c r="B9" i="1"/>
  <c r="F11" i="3"/>
  <c r="G11" i="3" s="1"/>
  <c r="B8" i="1"/>
  <c r="AB4" i="4" l="1"/>
  <c r="U26" i="4"/>
  <c r="P80" i="4"/>
  <c r="L7" i="3"/>
  <c r="M7" i="3" s="1"/>
  <c r="N7" i="3" s="1"/>
  <c r="F46" i="4"/>
  <c r="M45" i="4"/>
  <c r="M44" i="4" s="1"/>
  <c r="F66" i="4"/>
  <c r="E45" i="4"/>
  <c r="B6" i="1"/>
  <c r="C9" i="1" s="1"/>
  <c r="F45" i="4" l="1"/>
  <c r="E44" i="4"/>
  <c r="P83" i="4"/>
  <c r="U80" i="4"/>
  <c r="W14" i="4"/>
  <c r="AB14" i="4" s="1"/>
  <c r="AB16" i="4" s="1"/>
  <c r="L6" i="3"/>
  <c r="E7" i="1" s="1"/>
  <c r="E6" i="1" s="1"/>
  <c r="C8" i="1"/>
  <c r="C11" i="1"/>
  <c r="C7" i="1"/>
  <c r="C10" i="1"/>
  <c r="F12" i="1" l="1"/>
  <c r="F11" i="1"/>
  <c r="F8" i="1"/>
  <c r="F9" i="1"/>
  <c r="F10" i="1"/>
  <c r="L5" i="3"/>
  <c r="F44" i="4"/>
  <c r="M6" i="3"/>
  <c r="N6" i="3" s="1"/>
  <c r="C6" i="1"/>
  <c r="M5" i="3" l="1"/>
  <c r="N5" i="3" s="1"/>
  <c r="F7" i="1"/>
  <c r="F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</author>
    <author>user</author>
  </authors>
  <commentList>
    <comment ref="H9" authorId="0" shapeId="0" xr:uid="{0982B6C5-CB47-4A00-BB34-469F991DB8AC}">
      <text>
        <r>
          <rPr>
            <sz val="11"/>
            <color indexed="81"/>
            <rFont val="Tahoma"/>
            <family val="2"/>
          </rPr>
          <t>2023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bc </t>
        </r>
        <r>
          <rPr>
            <sz val="11"/>
            <color indexed="81"/>
            <rFont val="돋움"/>
            <family val="3"/>
            <charset val="129"/>
          </rPr>
          <t>환급금</t>
        </r>
        <r>
          <rPr>
            <sz val="11"/>
            <color indexed="81"/>
            <rFont val="Tahoma"/>
            <family val="2"/>
          </rPr>
          <t xml:space="preserve"> 15,020</t>
        </r>
        <r>
          <rPr>
            <sz val="11"/>
            <color indexed="81"/>
            <rFont val="돋움"/>
            <family val="3"/>
            <charset val="129"/>
          </rPr>
          <t>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추가</t>
        </r>
        <r>
          <rPr>
            <sz val="11"/>
            <color indexed="81"/>
            <rFont val="Tahoma"/>
            <family val="2"/>
          </rPr>
          <t xml:space="preserve"> : </t>
        </r>
        <r>
          <rPr>
            <sz val="11"/>
            <color indexed="81"/>
            <rFont val="돋움"/>
            <family val="3"/>
            <charset val="129"/>
          </rPr>
          <t>잡지출로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반환함</t>
        </r>
      </text>
    </comment>
    <comment ref="X14" authorId="1" shapeId="0" xr:uid="{48C2F582-EC1B-4E5D-9E87-D72FDCF5310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</t>
        </r>
        <r>
          <rPr>
            <sz val="9"/>
            <color indexed="81"/>
            <rFont val="돋움"/>
            <family val="3"/>
            <charset val="129"/>
          </rPr>
          <t>의류리폼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 xml:space="preserve">공동모금회
</t>
        </r>
      </text>
    </comment>
    <comment ref="F17" authorId="0" shapeId="0" xr:uid="{6D8DB9DD-CFF9-4321-977E-F4911D89AABD}">
      <text>
        <r>
          <rPr>
            <sz val="11"/>
            <color indexed="81"/>
            <rFont val="돋움"/>
            <family val="3"/>
            <charset val="129"/>
          </rPr>
          <t>외부지원사업</t>
        </r>
        <r>
          <rPr>
            <sz val="11"/>
            <color indexed="81"/>
            <rFont val="Tahoma"/>
            <family val="2"/>
          </rPr>
          <t xml:space="preserve"> krx</t>
        </r>
        <r>
          <rPr>
            <sz val="11"/>
            <color indexed="81"/>
            <rFont val="돋움"/>
            <family val="3"/>
            <charset val="129"/>
          </rPr>
          <t>지정기탁사업</t>
        </r>
        <r>
          <rPr>
            <sz val="11"/>
            <color indexed="81"/>
            <rFont val="Tahoma"/>
            <family val="2"/>
          </rPr>
          <t xml:space="preserve"> 3,000</t>
        </r>
        <r>
          <rPr>
            <sz val="11"/>
            <color indexed="81"/>
            <rFont val="돋움"/>
            <family val="3"/>
            <charset val="129"/>
          </rPr>
          <t>만원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확정으로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증액</t>
        </r>
        <r>
          <rPr>
            <sz val="11"/>
            <color indexed="81"/>
            <rFont val="Tahoma"/>
            <family val="2"/>
          </rPr>
          <t xml:space="preserve"> </t>
        </r>
      </text>
    </comment>
    <comment ref="Q17" authorId="1" shapeId="0" xr:uid="{7F33B3FF-0C97-4BF3-86E2-89E482E849EC}">
      <text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후원금</t>
        </r>
        <r>
          <rPr>
            <sz val="11"/>
            <color indexed="81"/>
            <rFont val="Tahoma"/>
            <family val="2"/>
          </rPr>
          <t>+</t>
        </r>
        <r>
          <rPr>
            <sz val="11"/>
            <color indexed="81"/>
            <rFont val="돋움"/>
            <family val="3"/>
            <charset val="129"/>
          </rPr>
          <t>의류리폼지정후원금</t>
        </r>
      </text>
    </comment>
    <comment ref="H19" authorId="0" shapeId="0" xr:uid="{1E4405B6-D267-438E-BB8D-2E2EDC2C26D3}">
      <text>
        <r>
          <rPr>
            <sz val="11"/>
            <color indexed="81"/>
            <rFont val="맑은 고딕"/>
            <family val="3"/>
            <charset val="129"/>
            <scheme val="major"/>
          </rPr>
          <t>2,520만원원으로 지원사업비 책정되어있어 기타비용(후원금)으로 80만원 책정하여 2,600만원으로 수정</t>
        </r>
      </text>
    </comment>
    <comment ref="R21" authorId="0" shapeId="0" xr:uid="{5ED10B0C-A71A-4F79-B7D7-2B26BF78AB32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간사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급여
</t>
        </r>
      </text>
    </comment>
    <comment ref="S22" authorId="0" shapeId="0" xr:uid="{6EB581A6-5A83-4B4A-8735-807B5EA2FFD9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리폼사업</t>
        </r>
        <r>
          <rPr>
            <sz val="9"/>
            <color indexed="81"/>
            <rFont val="Tahoma"/>
            <family val="2"/>
          </rPr>
          <t xml:space="preserve"> 7</t>
        </r>
        <r>
          <rPr>
            <sz val="9"/>
            <color indexed="81"/>
            <rFont val="돋움"/>
            <family val="3"/>
            <charset val="129"/>
          </rPr>
          <t>개월치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</text>
    </comment>
    <comment ref="P23" authorId="0" shapeId="0" xr:uid="{CCF8E75C-EB35-4813-BE1D-FDDAD1697C3D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자부담금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빼서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더했음
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퇴직적립금</t>
        </r>
        <r>
          <rPr>
            <sz val="9"/>
            <color indexed="81"/>
            <rFont val="Tahoma"/>
            <family val="2"/>
          </rPr>
          <t xml:space="preserve"> 99960</t>
        </r>
        <r>
          <rPr>
            <sz val="9"/>
            <color indexed="81"/>
            <rFont val="돋움"/>
            <family val="3"/>
            <charset val="129"/>
          </rPr>
          <t>원</t>
        </r>
      </text>
    </comment>
    <comment ref="S23" authorId="0" shapeId="0" xr:uid="{8F6CFA94-241E-4931-89DB-E6A34701EC53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간사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시간외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수당분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퇴직적립금
</t>
        </r>
      </text>
    </comment>
    <comment ref="S24" authorId="0" shapeId="0" xr:uid="{580BD97C-868D-43BC-920D-157349A29536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간사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시간외수당에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H27" authorId="0" shapeId="0" xr:uid="{50F4949E-5C67-40AD-A381-2BEE31E85555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2024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3,163,000</t>
        </r>
        <r>
          <rPr>
            <sz val="9"/>
            <color indexed="81"/>
            <rFont val="돋움"/>
            <family val="3"/>
            <charset val="129"/>
          </rPr>
          <t>원
시니어인턴십</t>
        </r>
        <r>
          <rPr>
            <sz val="9"/>
            <color indexed="81"/>
            <rFont val="Tahoma"/>
            <family val="2"/>
          </rPr>
          <t xml:space="preserve"> 1,600,000
</t>
        </r>
      </text>
    </comment>
    <comment ref="H33" authorId="1" shapeId="0" xr:uid="{FB62A844-7737-4402-8153-F1B04C0B9A7C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보조금반납이자이월금 포함</t>
        </r>
      </text>
    </comment>
    <comment ref="AB34" authorId="0" shapeId="0" xr:uid="{D41C3F2B-50A4-4312-8171-0BC4C5288CC8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AI34" authorId="0" shapeId="0" xr:uid="{92D1B8CB-094A-4599-B16C-633504746F72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AP34" authorId="0" shapeId="0" xr:uid="{8174B6F5-2519-49E3-9EA0-263A2907CD8F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H39" authorId="0" shapeId="0" xr:uid="{057DC8EE-6E16-48EA-B423-1781A6F0D980}">
      <text>
        <r>
          <rPr>
            <sz val="11"/>
            <color indexed="81"/>
            <rFont val="맑은 고딕"/>
            <family val="3"/>
            <charset val="129"/>
            <scheme val="major"/>
          </rPr>
          <t>전년도 보증금 반환금이 없어짐에 따라 차이 발생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M39" authorId="1" shapeId="0" xr:uid="{C1CA646A-0C5D-445A-905A-CD136BBA29C8}">
      <text>
        <r>
          <rPr>
            <b/>
            <sz val="9"/>
            <color indexed="81"/>
            <rFont val="돋움"/>
            <family val="3"/>
            <charset val="129"/>
          </rPr>
          <t>신원보증보험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환급금</t>
        </r>
        <r>
          <rPr>
            <b/>
            <sz val="9"/>
            <color indexed="81"/>
            <rFont val="Tahoma"/>
            <family val="2"/>
          </rPr>
          <t>16,170</t>
        </r>
      </text>
    </comment>
    <comment ref="AI42" authorId="0" shapeId="0" xr:uid="{57276BAA-17B5-46C2-A79C-3A4791C00048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AP42" authorId="0" shapeId="0" xr:uid="{03BCEDFE-C60B-4C47-BAD8-07456A725E54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H48" authorId="0" shapeId="0" xr:uid="{0673B908-991E-4592-9C93-DB0111DC6CFC}">
      <text>
        <r>
          <rPr>
            <sz val="11"/>
            <color indexed="81"/>
            <rFont val="맑은 고딕"/>
            <family val="3"/>
            <charset val="129"/>
            <scheme val="major"/>
          </rPr>
          <t>2024년  사회복지시설 종사자 기본급 13
호봉 기준</t>
        </r>
      </text>
    </comment>
    <comment ref="N49" authorId="0" shapeId="0" xr:uid="{552ABD4E-DB37-4E68-845F-9AB83FA61B29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간사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급여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개월</t>
        </r>
      </text>
    </comment>
    <comment ref="AF50" authorId="0" shapeId="0" xr:uid="{5D7622A8-13A8-49A1-BF83-3AEBA9E29602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리폼부분</t>
        </r>
      </text>
    </comment>
    <comment ref="AP50" authorId="0" shapeId="0" xr:uid="{E1E34F5B-07D4-46D5-94A0-D549F41F4940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M54" authorId="0" shapeId="0" xr:uid="{D6FBE064-BC3D-48E3-B4B5-FC28EE415B5D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3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취소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유지</t>
        </r>
      </text>
    </comment>
    <comment ref="S56" authorId="0" shapeId="0" xr:uid="{F5443C76-E3C0-4D2E-ADD9-7194E4CDD611}">
      <text>
        <r>
          <rPr>
            <sz val="9"/>
            <color indexed="81"/>
            <rFont val="Tahoma"/>
            <family val="2"/>
          </rPr>
          <t>5,285,640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80</t>
        </r>
        <r>
          <rPr>
            <sz val="9"/>
            <color indexed="81"/>
            <rFont val="돋움"/>
            <family val="3"/>
            <charset val="129"/>
          </rPr>
          <t>만원은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잡아둔것임</t>
        </r>
      </text>
    </comment>
    <comment ref="N58" authorId="0" shapeId="0" xr:uid="{84F530C6-38AA-4DDA-855D-D27C63882DFB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보조금명절수당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팀장</t>
        </r>
        <r>
          <rPr>
            <sz val="9"/>
            <color indexed="81"/>
            <rFont val="Tahoma"/>
            <family val="2"/>
          </rPr>
          <t xml:space="preserve">+ </t>
        </r>
        <r>
          <rPr>
            <sz val="9"/>
            <color indexed="81"/>
            <rFont val="돋움"/>
            <family val="3"/>
            <charset val="129"/>
          </rPr>
          <t>가족수당</t>
        </r>
      </text>
    </comment>
    <comment ref="N59" authorId="0" shapeId="0" xr:uid="{FE5AAE85-F68D-4010-A5E8-DADD799C2E89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개월치</t>
        </r>
      </text>
    </comment>
    <comment ref="H60" authorId="0" shapeId="0" xr:uid="{37A0FEB1-98D5-4013-92ED-24C782F38350}">
      <text>
        <r>
          <rPr>
            <b/>
            <sz val="9"/>
            <color indexed="81"/>
            <rFont val="돋움"/>
            <family val="3"/>
            <charset val="129"/>
          </rPr>
          <t xml:space="preserve">통상임금
</t>
        </r>
        <r>
          <rPr>
            <b/>
            <sz val="9"/>
            <color indexed="81"/>
            <rFont val="Tahoma"/>
            <family val="2"/>
          </rPr>
          <t>(1,700,000+70,000)*12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+ 2,040,000 =
21,240,000+2,040,000 = 23,280,000
23,280,000 /12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1,940,000
1,940,000*1.5/130.35=22,324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22,320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=446,400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평균근로시간</t>
        </r>
        <r>
          <rPr>
            <b/>
            <sz val="9"/>
            <color indexed="81"/>
            <rFont val="Tahoma"/>
            <family val="2"/>
          </rPr>
          <t xml:space="preserve"> = 30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소정근로시간</t>
        </r>
        <r>
          <rPr>
            <b/>
            <sz val="9"/>
            <color indexed="81"/>
            <rFont val="Tahoma"/>
            <family val="2"/>
          </rPr>
          <t xml:space="preserve"> 5*6)*4.345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달평균주수</t>
        </r>
        <r>
          <rPr>
            <b/>
            <sz val="9"/>
            <color indexed="81"/>
            <rFont val="Tahoma"/>
            <family val="2"/>
          </rPr>
          <t>) = 130.35</t>
        </r>
      </text>
    </comment>
    <comment ref="M60" authorId="0" shapeId="0" xr:uid="{C6DB8C82-0E80-42BB-804D-9CCEFADDA220}">
      <text>
        <r>
          <rPr>
            <sz val="11"/>
            <color indexed="81"/>
            <rFont val="돋움"/>
            <family val="3"/>
            <charset val="129"/>
          </rPr>
          <t>의류리폼사업비로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별도의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행정인력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채용하지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않고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간사의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시간외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근무시간을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추가하여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진행</t>
        </r>
      </text>
    </comment>
    <comment ref="N60" authorId="0" shapeId="0" xr:uid="{80427CAC-4C73-460C-B0E9-D9DDFA829FD8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포함
</t>
        </r>
      </text>
    </comment>
    <comment ref="AA62" authorId="0" shapeId="0" xr:uid="{22AC2D9B-7024-4F99-8703-27F83E0BC747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간사급여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가족수당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명절수당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시간외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개월분에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퇴직적립금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자부담금
</t>
        </r>
      </text>
    </comment>
    <comment ref="H63" authorId="0" shapeId="0" xr:uid="{5421381E-6693-4F3D-AB83-8B2D1D1312A7}">
      <text>
        <r>
          <rPr>
            <b/>
            <sz val="9"/>
            <color indexed="81"/>
            <rFont val="돋움"/>
            <family val="3"/>
            <charset val="129"/>
          </rPr>
          <t>보조금</t>
        </r>
        <r>
          <rPr>
            <b/>
            <sz val="9"/>
            <color indexed="81"/>
            <rFont val="Tahoma"/>
            <family val="2"/>
          </rPr>
          <t xml:space="preserve"> : 3,572,110</t>
        </r>
        <r>
          <rPr>
            <b/>
            <sz val="9"/>
            <color indexed="81"/>
            <rFont val="돋움"/>
            <family val="3"/>
            <charset val="129"/>
          </rPr>
          <t>원
자부담</t>
        </r>
        <r>
          <rPr>
            <b/>
            <sz val="9"/>
            <color indexed="81"/>
            <rFont val="Tahoma"/>
            <family val="2"/>
          </rPr>
          <t xml:space="preserve"> : 100,000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8,330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)
3437730/12=286477 </t>
        </r>
        <r>
          <rPr>
            <b/>
            <sz val="9"/>
            <color indexed="81"/>
            <rFont val="돋움"/>
            <family val="3"/>
            <charset val="129"/>
          </rPr>
          <t>올림하여</t>
        </r>
        <r>
          <rPr>
            <b/>
            <sz val="9"/>
            <color indexed="81"/>
            <rFont val="Tahoma"/>
            <family val="2"/>
          </rPr>
          <t xml:space="preserve"> 286,478</t>
        </r>
      </text>
    </comment>
    <comment ref="M63" authorId="1" shapeId="0" xr:uid="{BA4772C5-4155-42C6-A54C-871EB28CEEC6}">
      <text>
        <r>
          <rPr>
            <b/>
            <sz val="12"/>
            <color indexed="81"/>
            <rFont val="Tahoma"/>
            <family val="2"/>
          </rPr>
          <t>user:</t>
        </r>
        <r>
          <rPr>
            <sz val="12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돋움"/>
            <family val="3"/>
            <charset val="129"/>
          </rPr>
          <t>월별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계산했을때의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퇴직적립금을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합함</t>
        </r>
      </text>
    </comment>
    <comment ref="M64" authorId="1" shapeId="0" xr:uid="{8EA688E7-F83A-421F-A559-C130EBF310D3}">
      <text>
        <r>
          <rPr>
            <sz val="12"/>
            <color indexed="81"/>
            <rFont val="돋움"/>
            <family val="3"/>
            <charset val="129"/>
          </rPr>
          <t>간사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시간외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수당을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반영하여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퇴직적립금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수정</t>
        </r>
      </text>
    </comment>
    <comment ref="F66" authorId="0" shapeId="0" xr:uid="{B95D209F-907B-4173-B12E-A58727B15BDC}">
      <text>
        <r>
          <rPr>
            <sz val="11"/>
            <color indexed="81"/>
            <rFont val="돋움"/>
            <family val="3"/>
            <charset val="129"/>
          </rPr>
          <t>간사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시간외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수당을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반영하여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사회보험부담금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변경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의류리폼사업비에서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집행</t>
        </r>
        <r>
          <rPr>
            <sz val="11"/>
            <color indexed="81"/>
            <rFont val="Tahoma"/>
            <family val="2"/>
          </rPr>
          <t>)</t>
        </r>
      </text>
    </comment>
    <comment ref="Q71" authorId="1" shapeId="0" xr:uid="{16396D05-AA78-4089-AF17-D7E2C56E656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회계회비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11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적립금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내림</t>
        </r>
      </text>
    </comment>
    <comment ref="M72" authorId="0" shapeId="0" xr:uid="{B88087FC-4549-4215-88E9-F839B6347787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리폼사</t>
        </r>
        <r>
          <rPr>
            <sz val="9"/>
            <color indexed="81"/>
            <rFont val="Tahoma"/>
            <family val="2"/>
          </rPr>
          <t xml:space="preserve"> 221139*8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=1769110</t>
        </r>
        <r>
          <rPr>
            <sz val="9"/>
            <color indexed="81"/>
            <rFont val="돋움"/>
            <family val="3"/>
            <charset val="129"/>
          </rPr>
          <t>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실제금액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사회보험부담금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의류리폼사는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여유금액으로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적어둠</t>
        </r>
      </text>
    </comment>
    <comment ref="Q72" authorId="1" shapeId="0" xr:uid="{570F572F-F782-491E-ADF3-6161A1ADBCAE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회계회비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11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적립금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내림</t>
        </r>
      </text>
    </comment>
    <comment ref="G73" authorId="0" shapeId="0" xr:uid="{14E9690B-3952-4051-A669-045837410DF2}">
      <text>
        <r>
          <rPr>
            <sz val="12"/>
            <color indexed="81"/>
            <rFont val="돋움"/>
            <family val="3"/>
            <charset val="129"/>
          </rPr>
          <t>의류리폼사업비에서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간사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시간외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수당이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발생함에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따라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해당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수당분에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대한</t>
        </r>
        <r>
          <rPr>
            <sz val="12"/>
            <color indexed="81"/>
            <rFont val="Tahoma"/>
            <family val="2"/>
          </rPr>
          <t xml:space="preserve"> 4</t>
        </r>
        <r>
          <rPr>
            <sz val="12"/>
            <color indexed="81"/>
            <rFont val="돋움"/>
            <family val="3"/>
            <charset val="129"/>
          </rPr>
          <t>대보험료</t>
        </r>
        <r>
          <rPr>
            <sz val="12"/>
            <color indexed="81"/>
            <rFont val="Tahoma"/>
            <family val="2"/>
          </rPr>
          <t xml:space="preserve"> 325,400</t>
        </r>
        <r>
          <rPr>
            <sz val="12"/>
            <color indexed="81"/>
            <rFont val="돋움"/>
            <family val="3"/>
            <charset val="129"/>
          </rPr>
          <t>원이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발생</t>
        </r>
      </text>
    </comment>
    <comment ref="Q77" authorId="1" shapeId="0" xr:uid="{D2FFCE7B-98C4-4583-B1B7-8736F5BA9E9A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회계회비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11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적립금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내림</t>
        </r>
      </text>
    </comment>
    <comment ref="B78" authorId="0" shapeId="0" xr:uid="{DF377A17-49D5-4E5E-8803-DD8BC4C1C42F}">
      <text>
        <r>
          <rPr>
            <sz val="11"/>
            <color indexed="81"/>
            <rFont val="맑은 고딕"/>
            <family val="3"/>
            <charset val="129"/>
            <scheme val="major"/>
          </rPr>
          <t>후원금 사용 불가 항목</t>
        </r>
      </text>
    </comment>
    <comment ref="G81" authorId="0" shapeId="0" xr:uid="{BE24AD9F-EC34-4FE0-AF92-6F0B81170256}">
      <text>
        <r>
          <rPr>
            <sz val="11"/>
            <color indexed="81"/>
            <rFont val="돋움"/>
            <family val="3"/>
            <charset val="129"/>
          </rPr>
          <t>유관단체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직원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경조사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행사가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다수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발생하여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예산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</t>
        </r>
      </text>
    </comment>
    <comment ref="M91" authorId="1" shapeId="0" xr:uid="{E775AA1A-1246-4FB0-BC60-06F77962D857}">
      <text>
        <r>
          <rPr>
            <b/>
            <sz val="9"/>
            <color indexed="81"/>
            <rFont val="돋움"/>
            <family val="3"/>
            <charset val="129"/>
          </rPr>
          <t>운영비</t>
        </r>
        <r>
          <rPr>
            <b/>
            <sz val="9"/>
            <color indexed="81"/>
            <rFont val="Tahoma"/>
            <family val="2"/>
          </rPr>
          <t xml:space="preserve"> 100,000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</text>
    </comment>
    <comment ref="P98" authorId="1" shapeId="0" xr:uid="{32118B5E-839D-46F9-A123-9EE83CD9CC77}">
      <text>
        <r>
          <rPr>
            <sz val="9"/>
            <color indexed="81"/>
            <rFont val="돋움"/>
            <family val="3"/>
            <charset val="129"/>
          </rPr>
          <t>사업비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아동보호사업비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M100" authorId="0" shapeId="0" xr:uid="{AF259127-9746-4C2E-AAD7-3EBBE42235F2}">
      <text>
        <r>
          <rPr>
            <b/>
            <sz val="9"/>
            <color indexed="81"/>
            <rFont val="돋움"/>
            <family val="3"/>
            <charset val="129"/>
          </rPr>
          <t>퇴직연금수수료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자부담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20</t>
        </r>
        <r>
          <rPr>
            <b/>
            <sz val="9"/>
            <color indexed="81"/>
            <rFont val="돋움"/>
            <family val="3"/>
            <charset val="129"/>
          </rPr>
          <t>만원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편성</t>
        </r>
      </text>
    </comment>
    <comment ref="F102" authorId="0" shapeId="0" xr:uid="{B9E30A8A-496C-4DC4-88D2-3006924082BF}">
      <text>
        <r>
          <rPr>
            <sz val="11"/>
            <color indexed="81"/>
            <rFont val="맑은 고딕"/>
            <family val="3"/>
            <charset val="129"/>
            <scheme val="major"/>
          </rPr>
          <t>전기요금 등 상향조정</t>
        </r>
      </text>
    </comment>
    <comment ref="P112" authorId="0" shapeId="0" xr:uid="{070DD994-9272-4AC8-A88A-144027877458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주민세</t>
        </r>
        <r>
          <rPr>
            <sz val="9"/>
            <color indexed="81"/>
            <rFont val="Tahoma"/>
            <family val="2"/>
          </rPr>
          <t xml:space="preserve"> 95400
</t>
        </r>
        <r>
          <rPr>
            <sz val="9"/>
            <color indexed="81"/>
            <rFont val="돋움"/>
            <family val="3"/>
            <charset val="129"/>
          </rPr>
          <t>자동차검사비</t>
        </r>
        <r>
          <rPr>
            <sz val="9"/>
            <color indexed="81"/>
            <rFont val="Tahoma"/>
            <family val="2"/>
          </rPr>
          <t xml:space="preserve"> 80000</t>
        </r>
      </text>
    </comment>
    <comment ref="Q112" authorId="0" shapeId="0" xr:uid="{70563F69-C121-40DE-BEC2-DC4C3A43121C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환경개선분담금</t>
        </r>
        <r>
          <rPr>
            <sz val="9"/>
            <color indexed="81"/>
            <rFont val="Tahoma"/>
            <family val="2"/>
          </rPr>
          <t xml:space="preserve"> 180000
</t>
        </r>
        <r>
          <rPr>
            <sz val="9"/>
            <color indexed="81"/>
            <rFont val="돋움"/>
            <family val="3"/>
            <charset val="129"/>
          </rPr>
          <t>자동차세</t>
        </r>
        <r>
          <rPr>
            <sz val="9"/>
            <color indexed="81"/>
            <rFont val="Tahoma"/>
            <family val="2"/>
          </rPr>
          <t xml:space="preserve">70000
</t>
        </r>
        <r>
          <rPr>
            <sz val="9"/>
            <color indexed="81"/>
            <rFont val="돋움"/>
            <family val="3"/>
            <charset val="129"/>
          </rPr>
          <t>주민세</t>
        </r>
        <r>
          <rPr>
            <sz val="9"/>
            <color indexed="81"/>
            <rFont val="Tahoma"/>
            <family val="2"/>
          </rPr>
          <t xml:space="preserve"> 100,000
</t>
        </r>
        <r>
          <rPr>
            <sz val="9"/>
            <color indexed="81"/>
            <rFont val="돋움"/>
            <family val="3"/>
            <charset val="129"/>
          </rPr>
          <t>자동차검사비</t>
        </r>
        <r>
          <rPr>
            <sz val="9"/>
            <color indexed="81"/>
            <rFont val="Tahoma"/>
            <family val="2"/>
          </rPr>
          <t xml:space="preserve"> 80,000</t>
        </r>
      </text>
    </comment>
    <comment ref="M113" authorId="1" shapeId="0" xr:uid="{C7CDD7AE-C662-45CF-AA7B-7D9D883FBEF0}">
      <text>
        <r>
          <rPr>
            <sz val="9"/>
            <color indexed="81"/>
            <rFont val="돋움"/>
            <family val="3"/>
            <charset val="129"/>
          </rPr>
          <t>보조금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사업비</t>
        </r>
        <r>
          <rPr>
            <sz val="9"/>
            <color indexed="81"/>
            <rFont val="Tahoma"/>
            <family val="2"/>
          </rPr>
          <t xml:space="preserve"> 20</t>
        </r>
        <r>
          <rPr>
            <sz val="9"/>
            <color indexed="81"/>
            <rFont val="돋움"/>
            <family val="3"/>
            <charset val="129"/>
          </rPr>
          <t>만원
후원금</t>
        </r>
        <r>
          <rPr>
            <sz val="9"/>
            <color indexed="81"/>
            <rFont val="Tahoma"/>
            <family val="2"/>
          </rPr>
          <t xml:space="preserve"> 40</t>
        </r>
        <r>
          <rPr>
            <sz val="9"/>
            <color indexed="81"/>
            <rFont val="돋움"/>
            <family val="3"/>
            <charset val="129"/>
          </rPr>
          <t>만원</t>
        </r>
      </text>
    </comment>
    <comment ref="P116" authorId="1" shapeId="0" xr:uid="{379F21BF-AF75-47FF-94CA-69D134E3B38D}">
      <text>
        <r>
          <rPr>
            <b/>
            <sz val="12"/>
            <color indexed="81"/>
            <rFont val="돋움"/>
            <family val="3"/>
            <charset val="129"/>
          </rPr>
          <t>운영비</t>
        </r>
        <r>
          <rPr>
            <b/>
            <sz val="12"/>
            <color indexed="81"/>
            <rFont val="Tahoma"/>
            <family val="2"/>
          </rPr>
          <t xml:space="preserve"> 25</t>
        </r>
        <r>
          <rPr>
            <b/>
            <sz val="12"/>
            <color indexed="81"/>
            <rFont val="돋움"/>
            <family val="3"/>
            <charset val="129"/>
          </rPr>
          <t>만원
사업비</t>
        </r>
        <r>
          <rPr>
            <b/>
            <sz val="12"/>
            <color indexed="81"/>
            <rFont val="Tahoma"/>
            <family val="2"/>
          </rPr>
          <t xml:space="preserve"> 4</t>
        </r>
        <r>
          <rPr>
            <b/>
            <sz val="12"/>
            <color indexed="81"/>
            <rFont val="돋움"/>
            <family val="3"/>
            <charset val="129"/>
          </rPr>
          <t xml:space="preserve">만원
</t>
        </r>
      </text>
    </comment>
    <comment ref="Q116" authorId="0" shapeId="0" xr:uid="{92417073-3C5A-462B-A832-A67F2CA06C69}">
      <text>
        <r>
          <rPr>
            <b/>
            <sz val="9"/>
            <color indexed="81"/>
            <rFont val="Tahoma"/>
            <family val="2"/>
          </rPr>
          <t>LG:</t>
        </r>
        <r>
          <rPr>
            <sz val="9"/>
            <color indexed="81"/>
            <rFont val="Tahoma"/>
            <family val="2"/>
          </rPr>
          <t xml:space="preserve">
29</t>
        </r>
        <r>
          <rPr>
            <sz val="9"/>
            <color indexed="81"/>
            <rFont val="돋움"/>
            <family val="3"/>
            <charset val="129"/>
          </rPr>
          <t>만원은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자부담으로
</t>
        </r>
        <r>
          <rPr>
            <sz val="9"/>
            <color indexed="81"/>
            <rFont val="Tahoma"/>
            <family val="2"/>
          </rPr>
          <t>20</t>
        </r>
        <r>
          <rPr>
            <sz val="9"/>
            <color indexed="81"/>
            <rFont val="돋움"/>
            <family val="3"/>
            <charset val="129"/>
          </rPr>
          <t>만원은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자부담으로
</t>
        </r>
      </text>
    </comment>
    <comment ref="P121" authorId="1" shapeId="0" xr:uid="{1FBC4190-FEB7-4740-851D-CC8340A7E52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사업비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아동보호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지출</t>
        </r>
      </text>
    </comment>
    <comment ref="M141" authorId="1" shapeId="0" xr:uid="{E4F0B8F1-F69C-4A9F-B1C9-D2E18F90565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가을나들이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보조금
</t>
        </r>
      </text>
    </comment>
    <comment ref="F154" authorId="0" shapeId="0" xr:uid="{3E119C1E-D645-4B21-80AC-BA00576E28EF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비영리민간단체보조금 전체예산 감액으로 인함</t>
        </r>
      </text>
    </comment>
    <comment ref="M181" authorId="1" shapeId="0" xr:uid="{770D9856-5DF2-448B-867A-693E08FA4B95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0</t>
        </r>
        <r>
          <rPr>
            <sz val="10"/>
            <color indexed="81"/>
            <rFont val="돋움"/>
            <family val="3"/>
            <charset val="129"/>
          </rPr>
          <t>이었으나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적립금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금액에서</t>
        </r>
        <r>
          <rPr>
            <sz val="10"/>
            <color indexed="81"/>
            <rFont val="Tahoma"/>
            <family val="2"/>
          </rPr>
          <t xml:space="preserve"> 150</t>
        </r>
        <r>
          <rPr>
            <sz val="10"/>
            <color indexed="81"/>
            <rFont val="돋움"/>
            <family val="3"/>
            <charset val="129"/>
          </rPr>
          <t>만원을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넣음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88" authorId="0" shapeId="0" xr:uid="{232695D2-EB0B-42F4-BECD-64406587C7D3}">
      <text>
        <r>
          <rPr>
            <sz val="11"/>
            <color indexed="81"/>
            <rFont val="돋움"/>
            <family val="3"/>
            <charset val="129"/>
          </rPr>
          <t>임원진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컨소시엄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추가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</t>
        </r>
        <r>
          <rPr>
            <sz val="11"/>
            <color indexed="81"/>
            <rFont val="Tahoma"/>
            <family val="2"/>
          </rPr>
          <t xml:space="preserve"> 100</t>
        </r>
        <r>
          <rPr>
            <sz val="11"/>
            <color indexed="81"/>
            <rFont val="돋움"/>
            <family val="3"/>
            <charset val="129"/>
          </rPr>
          <t>만원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상향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</t>
        </r>
        <r>
          <rPr>
            <sz val="11"/>
            <color indexed="81"/>
            <rFont val="Tahoma"/>
            <family val="2"/>
          </rPr>
          <t xml:space="preserve"> </t>
        </r>
      </text>
    </comment>
    <comment ref="F191" authorId="0" shapeId="0" xr:uid="{29B1AA29-139F-41CC-B75B-75FCD2405AA2}">
      <text>
        <r>
          <rPr>
            <sz val="11"/>
            <color indexed="81"/>
            <rFont val="돋움"/>
            <family val="3"/>
            <charset val="129"/>
          </rPr>
          <t>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내에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책정되어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행정인력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고용비용을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시간외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수당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</t>
        </r>
        <r>
          <rPr>
            <sz val="11"/>
            <color indexed="81"/>
            <rFont val="돋움"/>
            <family val="3"/>
            <charset val="129"/>
          </rPr>
          <t>인건비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항목으로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변경하여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수정함에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변경</t>
        </r>
      </text>
    </comment>
    <comment ref="M194" authorId="1" shapeId="0" xr:uid="{D5E15CB8-E9CC-4D7E-87C2-77910CB8CB4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5" authorId="1" shapeId="0" xr:uid="{2BD8CA46-86A0-4782-ACA3-6B9FD1DFB94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6" authorId="1" shapeId="0" xr:uid="{00455CD0-EB75-483A-80AF-7AAAB4783C8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02" authorId="0" shapeId="0" xr:uid="{195EF0BB-E3F1-44FC-9A24-5078E6F61FF7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2023년 본회사업 프로포절 사업비 고려하여 상향 조정</t>
        </r>
      </text>
    </comment>
    <comment ref="F207" authorId="0" shapeId="0" xr:uid="{EA0C1EC4-C442-4EBD-AE82-CBD8F41F1BF7}">
      <text>
        <r>
          <rPr>
            <sz val="11"/>
            <color indexed="81"/>
            <rFont val="돋움"/>
            <family val="3"/>
            <charset val="129"/>
          </rPr>
          <t>보조금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반환금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발생함에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잡치출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예산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증액하여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변경</t>
        </r>
      </text>
    </comment>
    <comment ref="G209" authorId="0" shapeId="0" xr:uid="{59D7FCBE-5B7A-4100-BBC8-015C3095C951}">
      <text>
        <r>
          <rPr>
            <sz val="11"/>
            <color indexed="81"/>
            <rFont val="Tahoma"/>
            <family val="2"/>
          </rPr>
          <t>2023</t>
        </r>
        <r>
          <rPr>
            <sz val="11"/>
            <color indexed="81"/>
            <rFont val="돋움"/>
            <family val="3"/>
            <charset val="129"/>
          </rPr>
          <t>년</t>
        </r>
        <r>
          <rPr>
            <sz val="11"/>
            <color indexed="81"/>
            <rFont val="Tahoma"/>
            <family val="2"/>
          </rPr>
          <t xml:space="preserve"> bc </t>
        </r>
        <r>
          <rPr>
            <sz val="11"/>
            <color indexed="81"/>
            <rFont val="돋움"/>
            <family val="3"/>
            <charset val="129"/>
          </rPr>
          <t>환급금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보조금</t>
        </r>
        <r>
          <rPr>
            <sz val="11"/>
            <color indexed="81"/>
            <rFont val="Tahoma"/>
            <family val="2"/>
          </rPr>
          <t xml:space="preserve"> 15,020</t>
        </r>
        <r>
          <rPr>
            <sz val="11"/>
            <color indexed="81"/>
            <rFont val="돋움"/>
            <family val="3"/>
            <charset val="129"/>
          </rPr>
          <t>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잡지출로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반환홤</t>
        </r>
      </text>
    </comment>
    <comment ref="F212" authorId="0" shapeId="0" xr:uid="{B9C9AE43-CC9E-488B-99D2-F9EB70944988}">
      <text>
        <r>
          <rPr>
            <sz val="11"/>
            <color indexed="81"/>
            <rFont val="Tahoma"/>
            <family val="2"/>
          </rPr>
          <t xml:space="preserve">krx </t>
        </r>
        <r>
          <rPr>
            <sz val="11"/>
            <color indexed="81"/>
            <rFont val="돋움"/>
            <family val="3"/>
            <charset val="129"/>
          </rPr>
          <t>지정기탁사업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후원금</t>
        </r>
        <r>
          <rPr>
            <sz val="11"/>
            <color indexed="81"/>
            <rFont val="Tahoma"/>
            <family val="2"/>
          </rPr>
          <t xml:space="preserve"> 3,000</t>
        </r>
        <r>
          <rPr>
            <sz val="11"/>
            <color indexed="81"/>
            <rFont val="돋움"/>
            <family val="3"/>
            <charset val="129"/>
          </rPr>
          <t>만원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증액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복지관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및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마실센터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전출금</t>
        </r>
        <r>
          <rPr>
            <sz val="11"/>
            <color indexed="81"/>
            <rFont val="Tahoma"/>
            <family val="2"/>
          </rPr>
          <t>)</t>
        </r>
      </text>
    </comment>
    <comment ref="F215" authorId="0" shapeId="0" xr:uid="{86F0E879-160B-4D65-B049-77A150898F74}">
      <text>
        <r>
          <rPr>
            <sz val="11"/>
            <color indexed="81"/>
            <rFont val="맑은 고딕"/>
            <family val="3"/>
            <charset val="129"/>
            <scheme val="major"/>
          </rPr>
          <t xml:space="preserve">의류리폼사업비에 후원금액 증액, 잡지출 자부담 부담금 증액 운영비 자부담 증액 등으로 예상 2024년 적립금액 변동으로 인함 </t>
        </r>
      </text>
    </comment>
  </commentList>
</comments>
</file>

<file path=xl/sharedStrings.xml><?xml version="1.0" encoding="utf-8"?>
<sst xmlns="http://schemas.openxmlformats.org/spreadsheetml/2006/main" count="1115" uniqueCount="405">
  <si>
    <t xml:space="preserve">                                        </t>
  </si>
  <si>
    <t xml:space="preserve">잡수입              </t>
  </si>
  <si>
    <t>산     출    기   초</t>
  </si>
  <si>
    <t>2. 세출의 내용은 다음과 같다.</t>
  </si>
  <si>
    <t>세              출</t>
  </si>
  <si>
    <t xml:space="preserve"> -기타운영비(여행자보험가입등)</t>
  </si>
  <si>
    <t xml:space="preserve"> -우편발송비 및 문자충전 등</t>
  </si>
  <si>
    <t>세              입</t>
  </si>
  <si>
    <t xml:space="preserve"> -뇌성마비장애인정보제공프로그램</t>
  </si>
  <si>
    <t xml:space="preserve"> -홍보지 및 홍보물제작, 홍보활동</t>
  </si>
  <si>
    <t xml:space="preserve">   제3조(예산의 전용) 예산 전용이 긴박한 경우 시설의 장이 우선 집행하고 상임위원회의 결의를 얻도록 한다.</t>
  </si>
  <si>
    <t>고용보험</t>
  </si>
  <si>
    <t>건강보험료</t>
  </si>
  <si>
    <t>국민연금</t>
  </si>
  <si>
    <t>예금이자수입</t>
  </si>
  <si>
    <t>시외 출장비</t>
  </si>
  <si>
    <t>산재보험</t>
  </si>
  <si>
    <t xml:space="preserve">   잡지출</t>
  </si>
  <si>
    <t>총   계</t>
  </si>
  <si>
    <t>비율(%)</t>
  </si>
  <si>
    <t>비교증감</t>
  </si>
  <si>
    <t>차량유류대</t>
  </si>
  <si>
    <t>전년도이월금</t>
  </si>
  <si>
    <t>장기요양보험료</t>
  </si>
  <si>
    <t>기타
후생경비</t>
  </si>
  <si>
    <t>급    여</t>
  </si>
  <si>
    <t>(단위:천원)</t>
  </si>
  <si>
    <t>제 수 당</t>
  </si>
  <si>
    <t>공공요금</t>
  </si>
  <si>
    <t>보조금수입</t>
  </si>
  <si>
    <t>ㅇ사업평가회</t>
  </si>
  <si>
    <t>기관운영비</t>
  </si>
  <si>
    <t>부모지원사업</t>
  </si>
  <si>
    <t>ㅇ부모프로그램</t>
  </si>
  <si>
    <t>청소년지원사업</t>
  </si>
  <si>
    <t>자원개발사업</t>
  </si>
  <si>
    <t>직원교육사업</t>
  </si>
  <si>
    <t>ㅇ직원역량강화</t>
  </si>
  <si>
    <t>홍보사업</t>
  </si>
  <si>
    <t>기타사업</t>
  </si>
  <si>
    <t>운영보조금</t>
  </si>
  <si>
    <t>제세공과금</t>
  </si>
  <si>
    <t>기타잡수입</t>
  </si>
  <si>
    <t>우편발송비</t>
  </si>
  <si>
    <t>자동차보험료</t>
  </si>
  <si>
    <t xml:space="preserve"> 총 계 </t>
  </si>
  <si>
    <t>명절선물</t>
  </si>
  <si>
    <t>시내교통비</t>
  </si>
  <si>
    <t>시설장비유지비</t>
  </si>
  <si>
    <t>자산취득비</t>
  </si>
  <si>
    <t xml:space="preserve"> -진행비</t>
  </si>
  <si>
    <t>뇌병변지원사업</t>
  </si>
  <si>
    <t xml:space="preserve"> -부모교육</t>
  </si>
  <si>
    <t>(비영리단체)</t>
  </si>
  <si>
    <t xml:space="preserve"> -강사비</t>
  </si>
  <si>
    <t>업무추진비</t>
  </si>
  <si>
    <t>잡 수 입</t>
  </si>
  <si>
    <t>경상보조금</t>
  </si>
  <si>
    <t xml:space="preserve"> -평가회</t>
  </si>
  <si>
    <t xml:space="preserve"> -기타운영비</t>
  </si>
  <si>
    <t xml:space="preserve"> -우편발송비</t>
  </si>
  <si>
    <t>이 월 금</t>
  </si>
  <si>
    <t>사무용품구입비</t>
  </si>
  <si>
    <t>ㅇ홍보활동</t>
  </si>
  <si>
    <t>ㅇ소식지 발송</t>
  </si>
  <si>
    <t>비지정후원금</t>
  </si>
  <si>
    <t>본회지원금</t>
  </si>
  <si>
    <t>사회보험부담금</t>
  </si>
  <si>
    <t>기타후생경비</t>
  </si>
  <si>
    <t>가을나들이</t>
  </si>
  <si>
    <t>후원금수입</t>
  </si>
  <si>
    <t>전 입 금</t>
  </si>
  <si>
    <t>비영리민간단체</t>
  </si>
  <si>
    <t xml:space="preserve"> -차량대여비</t>
  </si>
  <si>
    <t>기타보조금</t>
  </si>
  <si>
    <t>지정후원금</t>
  </si>
  <si>
    <t>프로그램지원</t>
  </si>
  <si>
    <t>후원금 이월</t>
  </si>
  <si>
    <t>ㅇ의류리폼사업</t>
  </si>
  <si>
    <t>의류리폼사업</t>
  </si>
  <si>
    <t>재산조성비</t>
  </si>
  <si>
    <t>ㅇ지회사업</t>
  </si>
  <si>
    <t xml:space="preserve">  과                               목</t>
  </si>
  <si>
    <t>세                       출</t>
  </si>
  <si>
    <t>세                      입</t>
  </si>
  <si>
    <t xml:space="preserve">예비비 및 기타   </t>
  </si>
  <si>
    <t>금        액</t>
  </si>
  <si>
    <t>과        목</t>
  </si>
  <si>
    <t xml:space="preserve">후원금 수입    </t>
  </si>
  <si>
    <t>과         목</t>
  </si>
  <si>
    <t xml:space="preserve">재산조성비      </t>
  </si>
  <si>
    <t>퇴직금및 적립금</t>
  </si>
  <si>
    <t xml:space="preserve">전년도이월금   </t>
  </si>
  <si>
    <t>예산총괄표(1)</t>
  </si>
  <si>
    <t>사회보험
부담금</t>
  </si>
  <si>
    <t>&lt;단위 :천원&gt;</t>
  </si>
  <si>
    <t>(단위:  천원)</t>
  </si>
  <si>
    <t>2. 세출내역(1)</t>
  </si>
  <si>
    <t>2. 세출내역(3)</t>
  </si>
  <si>
    <t>업무관련 대내외비</t>
  </si>
  <si>
    <t xml:space="preserve">  -정보부스운영비</t>
  </si>
  <si>
    <t>차량검사 및 수리비</t>
  </si>
  <si>
    <t>사무기기유지보수비</t>
  </si>
  <si>
    <t>정보센터운영사업</t>
  </si>
  <si>
    <t>CMS 및 지로수수료</t>
  </si>
  <si>
    <t>직책보조비(지회장)</t>
  </si>
  <si>
    <t>ㅇ정보센터운영사업</t>
  </si>
  <si>
    <t>회계, 회비프로그램</t>
  </si>
  <si>
    <t>(아동보호사업)</t>
  </si>
  <si>
    <t>ㅇ자원봉사자 관리</t>
  </si>
  <si>
    <t>가족통합지원사업</t>
  </si>
  <si>
    <t>오뚜기축제지원금</t>
  </si>
  <si>
    <t>2. 세출내역(2)</t>
  </si>
  <si>
    <t>2. 세출내역(4)</t>
  </si>
  <si>
    <t>부산시부모프로그램</t>
  </si>
  <si>
    <t>후 원 금 수 입</t>
  </si>
  <si>
    <t>ㅇ청소년지원사업</t>
  </si>
  <si>
    <t>보 조 금 수 입</t>
  </si>
  <si>
    <t>2. 세출내역(5)</t>
  </si>
  <si>
    <t>ㅇ단체네트워크사업</t>
  </si>
  <si>
    <t xml:space="preserve"> -소식지 제작</t>
  </si>
  <si>
    <t>제2조(예산의 내역)</t>
  </si>
  <si>
    <t xml:space="preserve"> -후원자 관리</t>
  </si>
  <si>
    <t>ㅇ부모회지원사업</t>
  </si>
  <si>
    <t xml:space="preserve"> -리폼의복지원사업</t>
  </si>
  <si>
    <t>수용비 및 수수료</t>
  </si>
  <si>
    <t>상임운영위원회의비 등</t>
  </si>
  <si>
    <t>단체네트워크사업</t>
  </si>
  <si>
    <t xml:space="preserve">  -뉴스레터 발송비</t>
  </si>
  <si>
    <t>1. 세입의 주요 재원은 다음과 같다.</t>
  </si>
  <si>
    <t xml:space="preserve">인건비           </t>
  </si>
  <si>
    <t>상임운영위원 등 명절선물</t>
  </si>
  <si>
    <t xml:space="preserve">사업비            </t>
  </si>
  <si>
    <t>ㅇ문화지원사업(문화활동)</t>
  </si>
  <si>
    <t>ㅇ문화지원사업(가을나들이)</t>
  </si>
  <si>
    <t>사      업      비</t>
  </si>
  <si>
    <t>ㅇ운동수행능력향상프로그램</t>
  </si>
  <si>
    <t>전화,인터넷,전기,수도요금</t>
  </si>
  <si>
    <t xml:space="preserve">운영비           </t>
  </si>
  <si>
    <t>ㅇ후원자 및 후원기업개발</t>
  </si>
  <si>
    <t>재  산  조  성  비</t>
  </si>
  <si>
    <t xml:space="preserve">업무추진비       </t>
  </si>
  <si>
    <t>사      무      비</t>
  </si>
  <si>
    <t xml:space="preserve">기타보조금        </t>
  </si>
  <si>
    <t>퇴직금 및 
퇴직적립금</t>
  </si>
  <si>
    <t xml:space="preserve"> -가족관계증진프로그램</t>
  </si>
  <si>
    <t>시설비</t>
  </si>
  <si>
    <t>사업비</t>
  </si>
  <si>
    <t>-</t>
  </si>
  <si>
    <t>운영비</t>
  </si>
  <si>
    <t>항</t>
  </si>
  <si>
    <t>%</t>
  </si>
  <si>
    <t>감</t>
  </si>
  <si>
    <t>증</t>
  </si>
  <si>
    <t xml:space="preserve"> </t>
  </si>
  <si>
    <t>관</t>
  </si>
  <si>
    <t>월</t>
  </si>
  <si>
    <t>`</t>
  </si>
  <si>
    <t>년</t>
  </si>
  <si>
    <t>계</t>
  </si>
  <si>
    <t>*</t>
  </si>
  <si>
    <t>회</t>
  </si>
  <si>
    <t>명</t>
  </si>
  <si>
    <t>목</t>
  </si>
  <si>
    <t>=</t>
  </si>
  <si>
    <t>회의비</t>
  </si>
  <si>
    <t>잡수입</t>
  </si>
  <si>
    <t>급여</t>
  </si>
  <si>
    <t>차량비</t>
  </si>
  <si>
    <t>인건비</t>
  </si>
  <si>
    <t>비율</t>
  </si>
  <si>
    <t>제수당</t>
  </si>
  <si>
    <t>액수</t>
  </si>
  <si>
    <t>이월금</t>
  </si>
  <si>
    <t>여비</t>
  </si>
  <si>
    <t>사무비</t>
  </si>
  <si>
    <t>잡지출</t>
  </si>
  <si>
    <t>전입금</t>
  </si>
  <si>
    <t>예비비</t>
  </si>
  <si>
    <t>인건비</t>
    <phoneticPr fontId="15" type="noConversion"/>
  </si>
  <si>
    <t>의류리폼</t>
    <phoneticPr fontId="15" type="noConversion"/>
  </si>
  <si>
    <t>업무추진비</t>
    <phoneticPr fontId="15" type="noConversion"/>
  </si>
  <si>
    <t>운영비</t>
    <phoneticPr fontId="15" type="noConversion"/>
  </si>
  <si>
    <t>재산조성비</t>
    <phoneticPr fontId="15" type="noConversion"/>
  </si>
  <si>
    <t>사업비</t>
    <phoneticPr fontId="15" type="noConversion"/>
  </si>
  <si>
    <t>잡지출</t>
    <phoneticPr fontId="15" type="noConversion"/>
  </si>
  <si>
    <t>예비비</t>
    <phoneticPr fontId="15" type="noConversion"/>
  </si>
  <si>
    <t>후원금: 100,000</t>
    <phoneticPr fontId="15" type="noConversion"/>
  </si>
  <si>
    <t xml:space="preserve"> -간식비</t>
    <phoneticPr fontId="15" type="noConversion"/>
  </si>
  <si>
    <t>*</t>
    <phoneticPr fontId="15" type="noConversion"/>
  </si>
  <si>
    <t>적립금</t>
    <phoneticPr fontId="15" type="noConversion"/>
  </si>
  <si>
    <t>법인적립금</t>
    <phoneticPr fontId="15" type="noConversion"/>
  </si>
  <si>
    <t>기타</t>
    <phoneticPr fontId="15" type="noConversion"/>
  </si>
  <si>
    <t>사무비</t>
    <phoneticPr fontId="15" type="noConversion"/>
  </si>
  <si>
    <t>보조금수입</t>
    <phoneticPr fontId="15" type="noConversion"/>
  </si>
  <si>
    <t>후원금수입</t>
    <phoneticPr fontId="15" type="noConversion"/>
  </si>
  <si>
    <t>전입금</t>
    <phoneticPr fontId="15" type="noConversion"/>
  </si>
  <si>
    <t>이월금</t>
    <phoneticPr fontId="15" type="noConversion"/>
  </si>
  <si>
    <t>잡수입</t>
    <phoneticPr fontId="15" type="noConversion"/>
  </si>
  <si>
    <t>시설비</t>
    <phoneticPr fontId="15" type="noConversion"/>
  </si>
  <si>
    <t>산     출    기   초</t>
    <phoneticPr fontId="15" type="noConversion"/>
  </si>
  <si>
    <t xml:space="preserve">  과                               목</t>
    <phoneticPr fontId="15" type="noConversion"/>
  </si>
  <si>
    <t xml:space="preserve">사업비 </t>
    <phoneticPr fontId="15" type="noConversion"/>
  </si>
  <si>
    <t>예비비 및 잡지출</t>
    <phoneticPr fontId="15" type="noConversion"/>
  </si>
  <si>
    <t>총계</t>
    <phoneticPr fontId="15" type="noConversion"/>
  </si>
  <si>
    <t>팀장</t>
    <phoneticPr fontId="15" type="noConversion"/>
  </si>
  <si>
    <t>홈페이지 유지보수비</t>
    <phoneticPr fontId="15" type="noConversion"/>
  </si>
  <si>
    <t>신원보증보험,단체배상보험  CMS보증 외</t>
    <phoneticPr fontId="15" type="noConversion"/>
  </si>
  <si>
    <t xml:space="preserve">자동차세, 자동차검사,주민세, 환경개선부담 </t>
    <phoneticPr fontId="15" type="noConversion"/>
  </si>
  <si>
    <t xml:space="preserve">  -회계평가비</t>
    <phoneticPr fontId="15" type="noConversion"/>
  </si>
  <si>
    <t xml:space="preserve">  -기타운영비</t>
    <phoneticPr fontId="15" type="noConversion"/>
  </si>
  <si>
    <t xml:space="preserve"> -부모프로그램(문화)</t>
    <phoneticPr fontId="15" type="noConversion"/>
  </si>
  <si>
    <t>단체네트워크사업</t>
    <phoneticPr fontId="15" type="noConversion"/>
  </si>
  <si>
    <t>퇴직적립금(팀장)</t>
    <phoneticPr fontId="15" type="noConversion"/>
  </si>
  <si>
    <t>후원적립금 이월</t>
    <phoneticPr fontId="15" type="noConversion"/>
  </si>
  <si>
    <t>명절수당(팀장)</t>
    <phoneticPr fontId="15" type="noConversion"/>
  </si>
  <si>
    <t>후원금: 2,000,000</t>
    <phoneticPr fontId="15" type="noConversion"/>
  </si>
  <si>
    <t>자부담 이월</t>
    <phoneticPr fontId="15" type="noConversion"/>
  </si>
  <si>
    <t>의류리폼사(4대보험)</t>
    <phoneticPr fontId="15" type="noConversion"/>
  </si>
  <si>
    <t xml:space="preserve"> -맞춤형재활운동프로그램(강사비 등)</t>
    <phoneticPr fontId="15" type="noConversion"/>
  </si>
  <si>
    <t xml:space="preserve"> -기타운영비(회계평가비 등)</t>
    <phoneticPr fontId="15" type="noConversion"/>
  </si>
  <si>
    <t xml:space="preserve"> -지회사업</t>
    <phoneticPr fontId="15" type="noConversion"/>
  </si>
  <si>
    <t>세입내역</t>
    <phoneticPr fontId="15" type="noConversion"/>
  </si>
  <si>
    <t>보조금</t>
    <phoneticPr fontId="15" type="noConversion"/>
  </si>
  <si>
    <t>후원금</t>
    <phoneticPr fontId="15" type="noConversion"/>
  </si>
  <si>
    <t>자부담</t>
    <phoneticPr fontId="15" type="noConversion"/>
  </si>
  <si>
    <t>합계</t>
    <phoneticPr fontId="15" type="noConversion"/>
  </si>
  <si>
    <t>경상보조금</t>
    <phoneticPr fontId="15" type="noConversion"/>
  </si>
  <si>
    <t>세출구분</t>
    <phoneticPr fontId="15" type="noConversion"/>
  </si>
  <si>
    <t>기타보조금</t>
    <phoneticPr fontId="15" type="noConversion"/>
  </si>
  <si>
    <t>프로그램지원금</t>
    <phoneticPr fontId="15" type="noConversion"/>
  </si>
  <si>
    <t>지정후원금</t>
    <phoneticPr fontId="15" type="noConversion"/>
  </si>
  <si>
    <t>비지정후원금</t>
    <phoneticPr fontId="15" type="noConversion"/>
  </si>
  <si>
    <t>후원금이월</t>
    <phoneticPr fontId="15" type="noConversion"/>
  </si>
  <si>
    <t>자부담이이월</t>
    <phoneticPr fontId="15" type="noConversion"/>
  </si>
  <si>
    <t>2021년 적립금</t>
    <phoneticPr fontId="15" type="noConversion"/>
  </si>
  <si>
    <t>의류리폼이월</t>
    <phoneticPr fontId="15" type="noConversion"/>
  </si>
  <si>
    <t>세출</t>
    <phoneticPr fontId="15" type="noConversion"/>
  </si>
  <si>
    <t>공동모금회 이월</t>
    <phoneticPr fontId="15" type="noConversion"/>
  </si>
  <si>
    <t>세입</t>
  </si>
  <si>
    <t>후원적립금이월</t>
    <phoneticPr fontId="15" type="noConversion"/>
  </si>
  <si>
    <t>차액</t>
  </si>
  <si>
    <t>자부담적립금이월</t>
    <phoneticPr fontId="15" type="noConversion"/>
  </si>
  <si>
    <t>리폼제외후원금</t>
    <phoneticPr fontId="15" type="noConversion"/>
  </si>
  <si>
    <t>세출내역</t>
    <phoneticPr fontId="15" type="noConversion"/>
  </si>
  <si>
    <t>급여</t>
    <phoneticPr fontId="15" type="noConversion"/>
  </si>
  <si>
    <t>제수당</t>
    <phoneticPr fontId="15" type="noConversion"/>
  </si>
  <si>
    <t>퇴직금</t>
    <phoneticPr fontId="15" type="noConversion"/>
  </si>
  <si>
    <t>37516808+16078841+8977890+1980000</t>
    <phoneticPr fontId="15" type="noConversion"/>
  </si>
  <si>
    <t>사회부담금</t>
    <phoneticPr fontId="15" type="noConversion"/>
  </si>
  <si>
    <t>기타후생</t>
    <phoneticPr fontId="15" type="noConversion"/>
  </si>
  <si>
    <t>기관운영비</t>
    <phoneticPr fontId="15" type="noConversion"/>
  </si>
  <si>
    <t>회의비</t>
    <phoneticPr fontId="15" type="noConversion"/>
  </si>
  <si>
    <t>여비</t>
    <phoneticPr fontId="15" type="noConversion"/>
  </si>
  <si>
    <t>수용비및수수료</t>
    <phoneticPr fontId="15" type="noConversion"/>
  </si>
  <si>
    <t>공공요금</t>
    <phoneticPr fontId="15" type="noConversion"/>
  </si>
  <si>
    <t>제세공과금</t>
    <phoneticPr fontId="15" type="noConversion"/>
  </si>
  <si>
    <t>차량비</t>
    <phoneticPr fontId="15" type="noConversion"/>
  </si>
  <si>
    <t>시설장비유지비</t>
    <phoneticPr fontId="15" type="noConversion"/>
  </si>
  <si>
    <t>자산취득비</t>
    <phoneticPr fontId="15" type="noConversion"/>
  </si>
  <si>
    <t>정보센터운영사업</t>
    <phoneticPr fontId="15" type="noConversion"/>
  </si>
  <si>
    <t>뇌병변지원사업</t>
    <phoneticPr fontId="15" type="noConversion"/>
  </si>
  <si>
    <t>부모지원사업</t>
    <phoneticPr fontId="15" type="noConversion"/>
  </si>
  <si>
    <t>가족통합지원사업</t>
    <phoneticPr fontId="15" type="noConversion"/>
  </si>
  <si>
    <t>청소년지원사업</t>
    <phoneticPr fontId="15" type="noConversion"/>
  </si>
  <si>
    <t>자원개발사업</t>
    <phoneticPr fontId="15" type="noConversion"/>
  </si>
  <si>
    <t>홍보사업</t>
    <phoneticPr fontId="15" type="noConversion"/>
  </si>
  <si>
    <t>직원교육사업</t>
    <phoneticPr fontId="15" type="noConversion"/>
  </si>
  <si>
    <t>의류리폼사업</t>
    <phoneticPr fontId="15" type="noConversion"/>
  </si>
  <si>
    <t>기타사업</t>
    <phoneticPr fontId="15" type="noConversion"/>
  </si>
  <si>
    <t>2021년적립금</t>
    <phoneticPr fontId="15" type="noConversion"/>
  </si>
  <si>
    <t>보조금총합</t>
    <phoneticPr fontId="15" type="noConversion"/>
  </si>
  <si>
    <t>후원금총합</t>
    <phoneticPr fontId="15" type="noConversion"/>
  </si>
  <si>
    <t>자부담총합</t>
    <phoneticPr fontId="15" type="noConversion"/>
  </si>
  <si>
    <t>의류리폼총합</t>
    <phoneticPr fontId="15" type="noConversion"/>
  </si>
  <si>
    <t>세입</t>
    <phoneticPr fontId="15" type="noConversion"/>
  </si>
  <si>
    <t>보-운 / 후</t>
    <phoneticPr fontId="15" type="noConversion"/>
  </si>
  <si>
    <t>보-운</t>
    <phoneticPr fontId="15" type="noConversion"/>
  </si>
  <si>
    <t>후</t>
    <phoneticPr fontId="15" type="noConversion"/>
  </si>
  <si>
    <t>사무기기</t>
    <phoneticPr fontId="15" type="noConversion"/>
  </si>
  <si>
    <t>지로수수료</t>
    <phoneticPr fontId="15" type="noConversion"/>
  </si>
  <si>
    <t>보-사 / 후</t>
    <phoneticPr fontId="15" type="noConversion"/>
  </si>
  <si>
    <t>회계회비</t>
    <phoneticPr fontId="15" type="noConversion"/>
  </si>
  <si>
    <t>사무용품</t>
    <phoneticPr fontId="15" type="noConversion"/>
  </si>
  <si>
    <t>4600을 주민세에서 가져옴</t>
    <phoneticPr fontId="15" type="noConversion"/>
  </si>
  <si>
    <t>11만원을 적립그에서 가져와야함</t>
    <phoneticPr fontId="15" type="noConversion"/>
  </si>
  <si>
    <t>홈페이지</t>
    <phoneticPr fontId="15" type="noConversion"/>
  </si>
  <si>
    <t>기타수수료</t>
    <phoneticPr fontId="15" type="noConversion"/>
  </si>
  <si>
    <t>전화인터넷전기수도</t>
    <phoneticPr fontId="15" type="noConversion"/>
  </si>
  <si>
    <t>관리비</t>
    <phoneticPr fontId="15" type="noConversion"/>
  </si>
  <si>
    <t>우편발송료</t>
    <phoneticPr fontId="15" type="noConversion"/>
  </si>
  <si>
    <t>자동차보험료</t>
    <phoneticPr fontId="15" type="noConversion"/>
  </si>
  <si>
    <t>보-사 /후</t>
    <phoneticPr fontId="15" type="noConversion"/>
  </si>
  <si>
    <t>차량유류대</t>
    <phoneticPr fontId="15" type="noConversion"/>
  </si>
  <si>
    <t>차량검사 및 수리비</t>
    <phoneticPr fontId="15" type="noConversion"/>
  </si>
  <si>
    <t>부모프로그램</t>
    <phoneticPr fontId="15" type="noConversion"/>
  </si>
  <si>
    <t>부모교육</t>
    <phoneticPr fontId="15" type="noConversion"/>
  </si>
  <si>
    <t>부모문화</t>
    <phoneticPr fontId="15" type="noConversion"/>
  </si>
  <si>
    <t>집단프로그램</t>
    <phoneticPr fontId="15" type="noConversion"/>
  </si>
  <si>
    <t>정보제공프로그램</t>
    <phoneticPr fontId="15" type="noConversion"/>
  </si>
  <si>
    <t>가족관계증진프로그램</t>
    <phoneticPr fontId="15" type="noConversion"/>
  </si>
  <si>
    <t>명절수당(간사)</t>
    <phoneticPr fontId="15" type="noConversion"/>
  </si>
  <si>
    <t>수용비 및 수수료</t>
    <phoneticPr fontId="15" type="noConversion"/>
  </si>
  <si>
    <t>신원보증,단체,CMS보증보험료</t>
    <phoneticPr fontId="15" type="noConversion"/>
  </si>
  <si>
    <t>전화</t>
    <phoneticPr fontId="15" type="noConversion"/>
  </si>
  <si>
    <t>인터넷팩스</t>
    <phoneticPr fontId="15" type="noConversion"/>
  </si>
  <si>
    <t>전기수도</t>
    <phoneticPr fontId="15" type="noConversion"/>
  </si>
  <si>
    <t>자동차세,자동차검사비, 환경개선분담금. 주민세 등</t>
    <phoneticPr fontId="15" type="noConversion"/>
  </si>
  <si>
    <t>전출금</t>
    <phoneticPr fontId="15" type="noConversion"/>
  </si>
  <si>
    <t>명</t>
    <phoneticPr fontId="15" type="noConversion"/>
  </si>
  <si>
    <t>외부지원사업</t>
    <phoneticPr fontId="15" type="noConversion"/>
  </si>
  <si>
    <t>(법인특화사업)</t>
    <phoneticPr fontId="15" type="noConversion"/>
  </si>
  <si>
    <t>ㅇ외부지원사업</t>
    <phoneticPr fontId="15" type="noConversion"/>
  </si>
  <si>
    <t>외부사업</t>
    <phoneticPr fontId="15" type="noConversion"/>
  </si>
  <si>
    <t>자부담적립금 이월</t>
    <phoneticPr fontId="15" type="noConversion"/>
  </si>
  <si>
    <t>후원+리폼_공동</t>
    <phoneticPr fontId="15" type="noConversion"/>
  </si>
  <si>
    <t>후원금: 150,000</t>
    <phoneticPr fontId="15" type="noConversion"/>
  </si>
  <si>
    <t xml:space="preserve"> -직원워크숍</t>
    <phoneticPr fontId="15" type="noConversion"/>
  </si>
  <si>
    <t xml:space="preserve"> -직원교육(외부포함)</t>
    <phoneticPr fontId="15" type="noConversion"/>
  </si>
  <si>
    <t>후원금: 1,000,000</t>
    <phoneticPr fontId="15" type="noConversion"/>
  </si>
  <si>
    <t>간사</t>
    <phoneticPr fontId="15" type="noConversion"/>
  </si>
  <si>
    <t>정액급식비(의류리폼사)</t>
    <phoneticPr fontId="15" type="noConversion"/>
  </si>
  <si>
    <t>의류리폼사</t>
    <phoneticPr fontId="15" type="noConversion"/>
  </si>
  <si>
    <t>직책수당(팀장)</t>
    <phoneticPr fontId="15" type="noConversion"/>
  </si>
  <si>
    <t>퇴직적립금(간사)</t>
    <phoneticPr fontId="15" type="noConversion"/>
  </si>
  <si>
    <t>자부담: 1,200,000</t>
    <phoneticPr fontId="15" type="noConversion"/>
  </si>
  <si>
    <t xml:space="preserve">자부담: 1,000,000 </t>
    <phoneticPr fontId="15" type="noConversion"/>
  </si>
  <si>
    <t>후원금: 1,000,000 자부담: 1,000,000</t>
    <phoneticPr fontId="15" type="noConversion"/>
  </si>
  <si>
    <t>컴퓨터, 기타 물품 구입 등</t>
    <phoneticPr fontId="15" type="noConversion"/>
  </si>
  <si>
    <t>보조금: 1,000,000  후원금: 10,300,000</t>
    <phoneticPr fontId="15" type="noConversion"/>
  </si>
  <si>
    <t>후원금: 600,000</t>
    <phoneticPr fontId="15" type="noConversion"/>
  </si>
  <si>
    <t>후원금: 1,300,000</t>
    <phoneticPr fontId="15" type="noConversion"/>
  </si>
  <si>
    <t>2022년적립금</t>
    <phoneticPr fontId="15" type="noConversion"/>
  </si>
  <si>
    <t>2022년 적립금</t>
    <phoneticPr fontId="15" type="noConversion"/>
  </si>
  <si>
    <t>프로그램 회비, 보증금 반환금 등</t>
    <phoneticPr fontId="15" type="noConversion"/>
  </si>
  <si>
    <r>
      <t>보조금+</t>
    </r>
    <r>
      <rPr>
        <b/>
        <sz val="11"/>
        <color rgb="FF000000"/>
        <rFont val="맑은 고딕"/>
        <family val="3"/>
        <charset val="129"/>
      </rPr>
      <t>자부담</t>
    </r>
    <phoneticPr fontId="15" type="noConversion"/>
  </si>
  <si>
    <t>자부담: 1,600,000</t>
    <phoneticPr fontId="15" type="noConversion"/>
  </si>
  <si>
    <t>보조금: 100,000 후원금: 1,420,000</t>
    <phoneticPr fontId="15" type="noConversion"/>
  </si>
  <si>
    <t>후원금적립</t>
    <phoneticPr fontId="15" type="noConversion"/>
  </si>
  <si>
    <t>자부담적립</t>
    <phoneticPr fontId="15" type="noConversion"/>
  </si>
  <si>
    <t>복지관 등 산하기관 전출금</t>
    <phoneticPr fontId="15" type="noConversion"/>
  </si>
  <si>
    <t>부산 및 창원부모회 지원사업</t>
    <phoneticPr fontId="15" type="noConversion"/>
  </si>
  <si>
    <t xml:space="preserve"> -부산 및 창원부모회지원사업</t>
    <phoneticPr fontId="15" type="noConversion"/>
  </si>
  <si>
    <t xml:space="preserve"> -집단프로그램</t>
    <phoneticPr fontId="15" type="noConversion"/>
  </si>
  <si>
    <t>보조금: 1,600,000   후원금: 500,000</t>
    <phoneticPr fontId="15" type="noConversion"/>
  </si>
  <si>
    <t>리폼예산</t>
    <phoneticPr fontId="15" type="noConversion"/>
  </si>
  <si>
    <t>후원금예산</t>
    <phoneticPr fontId="15" type="noConversion"/>
  </si>
  <si>
    <t>2023년 적립금</t>
    <phoneticPr fontId="15" type="noConversion"/>
  </si>
  <si>
    <t>리폼사업</t>
    <phoneticPr fontId="15" type="noConversion"/>
  </si>
  <si>
    <t>후원 세출합 :</t>
    <phoneticPr fontId="15" type="noConversion"/>
  </si>
  <si>
    <t>1. 세입내역(1)</t>
    <phoneticPr fontId="15" type="noConversion"/>
  </si>
  <si>
    <t>가족수당(팀장)</t>
    <phoneticPr fontId="15" type="noConversion"/>
  </si>
  <si>
    <t>가족수당(간사)</t>
    <phoneticPr fontId="15" type="noConversion"/>
  </si>
  <si>
    <t>산하기관 전출금</t>
    <phoneticPr fontId="15" type="noConversion"/>
  </si>
  <si>
    <t>시간외수당(간사)</t>
    <phoneticPr fontId="15" type="noConversion"/>
  </si>
  <si>
    <t>자부담: 4,200,000</t>
    <phoneticPr fontId="15" type="noConversion"/>
  </si>
  <si>
    <t>자부담: 5,400,000</t>
    <phoneticPr fontId="15" type="noConversion"/>
  </si>
  <si>
    <t>2024년 2차
추경예산</t>
    <phoneticPr fontId="15" type="noConversion"/>
  </si>
  <si>
    <t>보조금: 7,148,570 후원금: 6,448,230 자부담: 200,000</t>
    <phoneticPr fontId="15" type="noConversion"/>
  </si>
  <si>
    <t>후원금: 1,200,000 자부담: 1,000,000</t>
    <phoneticPr fontId="15" type="noConversion"/>
  </si>
  <si>
    <t xml:space="preserve">외부사업: 15,000,000 후원금: 1,000,000  </t>
    <phoneticPr fontId="15" type="noConversion"/>
  </si>
  <si>
    <t>2025년
예산(안)</t>
    <phoneticPr fontId="15" type="noConversion"/>
  </si>
  <si>
    <t>장애인고용장려금 등</t>
    <phoneticPr fontId="15" type="noConversion"/>
  </si>
  <si>
    <t>보조금: 51,884,800 자부담: 6,800,000 의류리폼: 14,700,000</t>
    <phoneticPr fontId="15" type="noConversion"/>
  </si>
  <si>
    <t>2025년 간사 통상임금</t>
    <phoneticPr fontId="15" type="noConversion"/>
  </si>
  <si>
    <t>시간외수당 1시간급여</t>
    <phoneticPr fontId="15" type="noConversion"/>
  </si>
  <si>
    <t>20시간 시간외수당</t>
    <phoneticPr fontId="15" type="noConversion"/>
  </si>
  <si>
    <t>2025 간사 시간외수당</t>
    <phoneticPr fontId="15" type="noConversion"/>
  </si>
  <si>
    <t>보조금: 5,508,480 의류리폼: 3,824,800 자부담: 14,712,000</t>
    <phoneticPr fontId="15" type="noConversion"/>
  </si>
  <si>
    <t>보조금: 3,649,440 자부담: 2,226,000 의류리폼: 260,400</t>
    <phoneticPr fontId="15" type="noConversion"/>
  </si>
  <si>
    <t>보조금: 4,560,640 의류리폼: 1,929,160 자부담: 2,781,800</t>
    <phoneticPr fontId="15" type="noConversion"/>
  </si>
  <si>
    <t>리폼사 4대보험</t>
    <phoneticPr fontId="47" type="noConversion"/>
  </si>
  <si>
    <t>팀장 4대보험</t>
    <phoneticPr fontId="47" type="noConversion"/>
  </si>
  <si>
    <t>간사 4대보험</t>
    <phoneticPr fontId="47" type="noConversion"/>
  </si>
  <si>
    <t>보조금</t>
    <phoneticPr fontId="47" type="noConversion"/>
  </si>
  <si>
    <t>보조금분이지만 예산없어서 자부담으로 진행</t>
    <phoneticPr fontId="47" type="noConversion"/>
  </si>
  <si>
    <t>자부담</t>
    <phoneticPr fontId="47" type="noConversion"/>
  </si>
  <si>
    <t>엑셀맞추기위해</t>
    <phoneticPr fontId="47" type="noConversion"/>
  </si>
  <si>
    <t>리폼자부담</t>
    <phoneticPr fontId="47" type="noConversion"/>
  </si>
  <si>
    <t>10원 자부담에 더함</t>
    <phoneticPr fontId="47" type="noConversion"/>
  </si>
  <si>
    <t>총합</t>
    <phoneticPr fontId="47" type="noConversion"/>
  </si>
  <si>
    <t>퇴직적립금</t>
    <phoneticPr fontId="15" type="noConversion"/>
  </si>
  <si>
    <t>리폼자부담(시간외수당분7개월)</t>
    <phoneticPr fontId="15" type="noConversion"/>
  </si>
  <si>
    <t>보조금: 65,603,360 리폼: 20,714,360 0자부담: 28,119,800</t>
    <phoneticPr fontId="15" type="noConversion"/>
  </si>
  <si>
    <t>후원금: 900,000</t>
    <phoneticPr fontId="15" type="noConversion"/>
  </si>
  <si>
    <t>보조금: 240,000 후원금: 1,310,000</t>
    <phoneticPr fontId="15" type="noConversion"/>
  </si>
  <si>
    <t>보조금: 4,209,600 후원금: 1,410,000</t>
    <phoneticPr fontId="15" type="noConversion"/>
  </si>
  <si>
    <t>보조금: 350,000 후원금: 3,420,000</t>
    <phoneticPr fontId="15" type="noConversion"/>
  </si>
  <si>
    <t>보조금: 1,497,040 후원금: 2,450,160 자부담: 200,000</t>
    <phoneticPr fontId="15" type="noConversion"/>
  </si>
  <si>
    <t>후원금: 800,000 의류리폼: 4,485,640</t>
    <phoneticPr fontId="15" type="noConversion"/>
  </si>
  <si>
    <t>모금회 사업 전출금</t>
    <phoneticPr fontId="15" type="noConversion"/>
  </si>
  <si>
    <t>후원금 : 20,000,000</t>
    <phoneticPr fontId="15" type="noConversion"/>
  </si>
  <si>
    <t>자부담: 100,000</t>
    <phoneticPr fontId="15" type="noConversion"/>
  </si>
  <si>
    <t>모금회-저정후원금사업 전출금 등</t>
    <phoneticPr fontId="15" type="noConversion"/>
  </si>
  <si>
    <t>후원금: 151,059,391 자부담: 35,579,514</t>
    <phoneticPr fontId="15" type="noConversion"/>
  </si>
  <si>
    <t>보조금: 71,650,000  후원금: 7,490,160 리폼: 20,714,360 자부담: 33,719,800</t>
    <phoneticPr fontId="15" type="noConversion"/>
  </si>
  <si>
    <t>보조금: 74,600,000 후원금: 244,119,551 자부담 : 71,399,314</t>
    <phoneticPr fontId="15" type="noConversion"/>
  </si>
  <si>
    <t>보조금: 74,600,000 후원금: 193,919,551 리폼: 25,200,000 외부사업: 25,000,000 자부담: 71,399,314</t>
    <phoneticPr fontId="15" type="noConversion"/>
  </si>
  <si>
    <t>보조금: 2,950,000  후원금: 22,370,000  리폼: 4,485,640 외부사업: 15,000,000 자부담: 1,000,000</t>
    <phoneticPr fontId="15" type="noConversion"/>
  </si>
  <si>
    <t>2024년 2차</t>
  </si>
  <si>
    <t>추경예산</t>
  </si>
  <si>
    <t>2025년 
예산(안)</t>
    <phoneticPr fontId="15" type="noConversion"/>
  </si>
  <si>
    <t>제1조(예산의 규모) 한국뇌성마비복지회부산울산경남지회의 2025년도 예산(안) 세입.세출 예산 총액은 각각 390,118,865원으로 한다.</t>
    <phoneticPr fontId="15" type="noConversion"/>
  </si>
  <si>
    <t>2025년도 한국뇌성마비복지회부산울산경남지회 예산(안)</t>
    <phoneticPr fontId="15" type="noConversion"/>
  </si>
  <si>
    <t>기획사업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</si>
</sst>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  <numFmt numFmtId="178" formatCode="#,##0;[Red]#,##0"/>
    <numFmt numFmtId="179" formatCode="#,##0_);\(#,##0\)"/>
    <numFmt numFmtId="180" formatCode="_-* #,##0.0_-;\-* #,##0.0_-;_-* &quot;-&quot;_-;_-@_-"/>
    <numFmt numFmtId="181" formatCode="&quot;₩&quot;#,##0_);[Red]\(&quot;₩&quot;#,##0\)"/>
    <numFmt numFmtId="182" formatCode="0.0%"/>
    <numFmt numFmtId="183" formatCode="0.00_ "/>
    <numFmt numFmtId="184" formatCode="#,##0.0_ "/>
    <numFmt numFmtId="185" formatCode="0.000_ "/>
    <numFmt numFmtId="186" formatCode="0_);[Red]\(0\)"/>
  </numFmts>
  <fonts count="4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FF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12"/>
      <color indexed="8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1"/>
      <color rgb="FF0070C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theme="4" tint="-0.499984740745262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sz val="11"/>
      <color theme="9" tint="-0.499984740745262"/>
      <name val="맑은 고딕"/>
      <family val="3"/>
      <charset val="129"/>
    </font>
    <font>
      <b/>
      <sz val="11"/>
      <color theme="9" tint="-0.499984740745262"/>
      <name val="맑은 고딕"/>
      <family val="3"/>
      <charset val="129"/>
    </font>
    <font>
      <b/>
      <sz val="10"/>
      <color theme="9" tint="-0.499984740745262"/>
      <name val="맑은 고딕"/>
      <family val="3"/>
      <charset val="129"/>
    </font>
    <font>
      <sz val="10"/>
      <color theme="9" tint="-0.499984740745262"/>
      <name val="맑은 고딕"/>
      <family val="3"/>
      <charset val="129"/>
    </font>
    <font>
      <b/>
      <sz val="12"/>
      <color indexed="81"/>
      <name val="돋움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81"/>
      <name val="맑은 고딕"/>
      <family val="3"/>
      <charset val="129"/>
      <scheme val="major"/>
    </font>
    <font>
      <sz val="11"/>
      <color indexed="81"/>
      <name val="맑은 고딕"/>
      <family val="3"/>
      <charset val="129"/>
      <scheme val="major"/>
    </font>
    <font>
      <b/>
      <sz val="22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>
      <alignment vertical="center"/>
    </xf>
  </cellStyleXfs>
  <cellXfs count="882">
    <xf numFmtId="0" fontId="0" fillId="0" borderId="0" xfId="0" applyNumberFormat="1">
      <alignment vertical="center"/>
    </xf>
    <xf numFmtId="0" fontId="0" fillId="0" borderId="0" xfId="0" applyNumberFormat="1" applyAlignment="1"/>
    <xf numFmtId="0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/>
    <xf numFmtId="0" fontId="2" fillId="0" borderId="0" xfId="0" applyNumberFormat="1" applyFont="1" applyBorder="1" applyAlignment="1"/>
    <xf numFmtId="41" fontId="0" fillId="0" borderId="0" xfId="1" applyNumberFormat="1" applyFont="1" applyBorder="1" applyAlignment="1">
      <alignment horizontal="left" vertical="center" indent="1"/>
    </xf>
    <xf numFmtId="41" fontId="2" fillId="0" borderId="0" xfId="0" applyNumberFormat="1" applyFont="1" applyAlignment="1"/>
    <xf numFmtId="43" fontId="2" fillId="0" borderId="0" xfId="0" applyNumberFormat="1" applyFont="1" applyAlignment="1"/>
    <xf numFmtId="0" fontId="0" fillId="0" borderId="0" xfId="0" applyNumberFormat="1" applyAlignment="1">
      <alignment vertical="center" shrinkToFit="1"/>
    </xf>
    <xf numFmtId="0" fontId="3" fillId="0" borderId="0" xfId="3" applyNumberFormat="1" applyFont="1" applyBorder="1" applyAlignment="1">
      <alignment horizontal="center"/>
    </xf>
    <xf numFmtId="177" fontId="3" fillId="0" borderId="0" xfId="3" applyNumberFormat="1" applyFont="1" applyBorder="1" applyAlignment="1">
      <alignment horizontal="right"/>
    </xf>
    <xf numFmtId="0" fontId="3" fillId="0" borderId="0" xfId="3" applyNumberFormat="1" applyFont="1" applyBorder="1" applyAlignment="1">
      <alignment horizontal="right"/>
    </xf>
    <xf numFmtId="176" fontId="4" fillId="0" borderId="1" xfId="3" applyNumberFormat="1" applyFont="1" applyBorder="1" applyAlignment="1">
      <alignment horizontal="center" vertical="center"/>
    </xf>
    <xf numFmtId="176" fontId="5" fillId="0" borderId="1" xfId="3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right" vertical="center"/>
    </xf>
    <xf numFmtId="182" fontId="5" fillId="0" borderId="2" xfId="3" applyNumberFormat="1" applyFont="1" applyBorder="1" applyAlignment="1">
      <alignment horizontal="right" vertical="center"/>
    </xf>
    <xf numFmtId="176" fontId="5" fillId="0" borderId="2" xfId="3" applyNumberFormat="1" applyFont="1" applyBorder="1" applyAlignment="1">
      <alignment horizontal="center" vertical="center"/>
    </xf>
    <xf numFmtId="41" fontId="5" fillId="0" borderId="1" xfId="1" applyNumberFormat="1" applyFont="1" applyBorder="1">
      <alignment vertical="center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>
      <alignment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shrinkToFit="1"/>
    </xf>
    <xf numFmtId="0" fontId="0" fillId="0" borderId="3" xfId="0" applyNumberFormat="1" applyFont="1" applyBorder="1" applyAlignment="1">
      <alignment horizontal="center" vertical="center" shrinkToFit="1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shrinkToFit="1"/>
    </xf>
    <xf numFmtId="0" fontId="0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shrinkToFit="1"/>
    </xf>
    <xf numFmtId="0" fontId="0" fillId="3" borderId="5" xfId="0" applyNumberFormat="1" applyFon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 shrinkToFit="1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178" fontId="0" fillId="0" borderId="4" xfId="0" applyNumberFormat="1" applyFont="1" applyFill="1" applyBorder="1" applyAlignment="1">
      <alignment horizontal="center" vertical="center" shrinkToFit="1"/>
    </xf>
    <xf numFmtId="178" fontId="0" fillId="0" borderId="4" xfId="0" applyNumberFormat="1" applyFont="1" applyFill="1" applyBorder="1" applyAlignment="1">
      <alignment horizontal="center" vertical="center" wrapText="1"/>
    </xf>
    <xf numFmtId="0" fontId="0" fillId="3" borderId="3" xfId="0" applyNumberFormat="1" applyFont="1" applyFill="1" applyBorder="1">
      <alignment vertical="center"/>
    </xf>
    <xf numFmtId="0" fontId="7" fillId="0" borderId="3" xfId="0" applyNumberFormat="1" applyFont="1" applyFill="1" applyBorder="1" applyAlignment="1">
      <alignment horizontal="center" vertical="center"/>
    </xf>
    <xf numFmtId="178" fontId="7" fillId="0" borderId="4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Alignment="1">
      <alignment vertical="center" shrinkToFit="1"/>
    </xf>
    <xf numFmtId="178" fontId="7" fillId="0" borderId="4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right" vertical="center" wrapText="1"/>
    </xf>
    <xf numFmtId="178" fontId="0" fillId="0" borderId="0" xfId="0" applyNumberFormat="1" applyFont="1" applyAlignment="1">
      <alignment horizontal="right" vertical="center"/>
    </xf>
    <xf numFmtId="0" fontId="0" fillId="3" borderId="0" xfId="0" applyNumberFormat="1" applyFont="1" applyFill="1">
      <alignment vertical="center"/>
    </xf>
    <xf numFmtId="0" fontId="0" fillId="3" borderId="0" xfId="0" applyNumberFormat="1" applyFont="1" applyFill="1" applyAlignment="1">
      <alignment vertical="center"/>
    </xf>
    <xf numFmtId="3" fontId="0" fillId="3" borderId="6" xfId="0" applyNumberFormat="1" applyFont="1" applyFill="1" applyBorder="1">
      <alignment vertical="center"/>
    </xf>
    <xf numFmtId="3" fontId="0" fillId="3" borderId="4" xfId="0" applyNumberFormat="1" applyFont="1" applyFill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41" fontId="0" fillId="0" borderId="0" xfId="0" applyNumberFormat="1" applyFont="1" applyAlignment="1">
      <alignment horizontal="right" vertical="center"/>
    </xf>
    <xf numFmtId="41" fontId="0" fillId="0" borderId="4" xfId="0" applyNumberFormat="1" applyFont="1" applyFill="1" applyBorder="1" applyAlignment="1">
      <alignment horizontal="right" vertical="center" wrapText="1"/>
    </xf>
    <xf numFmtId="41" fontId="7" fillId="0" borderId="4" xfId="0" applyNumberFormat="1" applyFont="1" applyFill="1" applyBorder="1" applyAlignment="1">
      <alignment horizontal="right" vertical="center" wrapText="1"/>
    </xf>
    <xf numFmtId="41" fontId="0" fillId="0" borderId="6" xfId="0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Border="1" applyAlignment="1">
      <alignment vertical="center" shrinkToFit="1"/>
    </xf>
    <xf numFmtId="0" fontId="0" fillId="0" borderId="9" xfId="0" applyNumberFormat="1" applyBorder="1" applyAlignment="1">
      <alignment vertical="center" shrinkToFit="1"/>
    </xf>
    <xf numFmtId="0" fontId="0" fillId="0" borderId="10" xfId="0" applyNumberFormat="1" applyBorder="1" applyAlignment="1">
      <alignment vertical="center" shrinkToFit="1"/>
    </xf>
    <xf numFmtId="0" fontId="0" fillId="0" borderId="11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6" xfId="0" applyNumberFormat="1" applyBorder="1">
      <alignment vertical="center"/>
    </xf>
    <xf numFmtId="41" fontId="4" fillId="0" borderId="17" xfId="1" applyNumberFormat="1" applyFont="1" applyBorder="1" applyAlignment="1">
      <alignment horizontal="right" vertical="center"/>
    </xf>
    <xf numFmtId="182" fontId="4" fillId="0" borderId="17" xfId="3" applyNumberFormat="1" applyFont="1" applyBorder="1" applyAlignment="1">
      <alignment horizontal="right" vertical="center"/>
    </xf>
    <xf numFmtId="176" fontId="4" fillId="0" borderId="17" xfId="3" applyNumberFormat="1" applyFont="1" applyBorder="1" applyAlignment="1">
      <alignment horizontal="center" vertical="center"/>
    </xf>
    <xf numFmtId="41" fontId="0" fillId="3" borderId="4" xfId="0" applyNumberFormat="1" applyFont="1" applyFill="1" applyBorder="1" applyAlignment="1">
      <alignment horizontal="right" vertical="center" wrapText="1"/>
    </xf>
    <xf numFmtId="0" fontId="0" fillId="3" borderId="0" xfId="0" applyNumberFormat="1" applyFill="1" applyAlignment="1">
      <alignment vertical="center"/>
    </xf>
    <xf numFmtId="0" fontId="6" fillId="0" borderId="0" xfId="0" applyNumberFormat="1" applyFont="1">
      <alignment vertical="center"/>
    </xf>
    <xf numFmtId="0" fontId="6" fillId="3" borderId="0" xfId="0" applyNumberFormat="1" applyFont="1" applyFill="1">
      <alignment vertical="center"/>
    </xf>
    <xf numFmtId="0" fontId="0" fillId="3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Border="1">
      <alignment vertical="center"/>
    </xf>
    <xf numFmtId="178" fontId="7" fillId="3" borderId="4" xfId="0" applyNumberFormat="1" applyFont="1" applyFill="1" applyBorder="1" applyAlignment="1">
      <alignment horizontal="center" vertical="center" shrinkToFit="1"/>
    </xf>
    <xf numFmtId="0" fontId="9" fillId="3" borderId="3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 shrinkToFit="1"/>
    </xf>
    <xf numFmtId="41" fontId="0" fillId="3" borderId="4" xfId="0" applyNumberFormat="1" applyFont="1" applyFill="1" applyBorder="1" applyAlignment="1">
      <alignment horizontal="center" vertical="center" wrapText="1"/>
    </xf>
    <xf numFmtId="178" fontId="0" fillId="0" borderId="4" xfId="0" applyNumberFormat="1" applyFont="1" applyFill="1" applyBorder="1" applyAlignment="1">
      <alignment horizontal="center" vertical="center"/>
    </xf>
    <xf numFmtId="41" fontId="0" fillId="0" borderId="4" xfId="1" applyNumberFormat="1" applyFont="1" applyFill="1" applyBorder="1" applyAlignment="1">
      <alignment horizontal="right" vertical="center" wrapText="1"/>
    </xf>
    <xf numFmtId="0" fontId="0" fillId="3" borderId="4" xfId="0" applyNumberFormat="1" applyFont="1" applyFill="1" applyBorder="1" applyAlignment="1">
      <alignment horizontal="right" vertical="center" wrapText="1"/>
    </xf>
    <xf numFmtId="0" fontId="0" fillId="0" borderId="4" xfId="0" applyNumberFormat="1" applyFont="1" applyFill="1" applyBorder="1" applyAlignment="1">
      <alignment horizontal="right" vertical="center" wrapText="1"/>
    </xf>
    <xf numFmtId="41" fontId="0" fillId="3" borderId="4" xfId="1" applyNumberFormat="1" applyFont="1" applyFill="1" applyBorder="1" applyAlignment="1">
      <alignment vertical="center" shrinkToFit="1"/>
    </xf>
    <xf numFmtId="41" fontId="0" fillId="3" borderId="4" xfId="1" applyNumberFormat="1" applyFont="1" applyFill="1" applyBorder="1" applyAlignment="1">
      <alignment horizontal="center" vertical="center" shrinkToFit="1"/>
    </xf>
    <xf numFmtId="0" fontId="0" fillId="0" borderId="0" xfId="0" applyNumberFormat="1" applyFont="1" applyAlignment="1">
      <alignment horizontal="left" vertical="center" indent="1" shrinkToFit="1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 shrinkToFit="1"/>
    </xf>
    <xf numFmtId="0" fontId="0" fillId="0" borderId="0" xfId="0" applyNumberFormat="1" applyFont="1" applyAlignment="1"/>
    <xf numFmtId="0" fontId="0" fillId="0" borderId="0" xfId="0" applyNumberFormat="1" applyFont="1" applyBorder="1" applyAlignment="1">
      <alignment horizontal="left" vertical="center" shrinkToFit="1"/>
    </xf>
    <xf numFmtId="41" fontId="0" fillId="0" borderId="0" xfId="1" applyNumberFormat="1" applyFont="1" applyBorder="1" applyAlignment="1">
      <alignment horizontal="left" vertical="center"/>
    </xf>
    <xf numFmtId="182" fontId="0" fillId="0" borderId="0" xfId="0" applyNumberFormat="1" applyFont="1" applyBorder="1" applyAlignment="1">
      <alignment horizontal="left" vertical="center"/>
    </xf>
    <xf numFmtId="41" fontId="0" fillId="0" borderId="0" xfId="0" applyNumberFormat="1" applyFont="1" applyBorder="1" applyAlignment="1">
      <alignment horizontal="left" vertical="center"/>
    </xf>
    <xf numFmtId="41" fontId="0" fillId="0" borderId="0" xfId="1" applyNumberFormat="1" applyFont="1" applyBorder="1" applyAlignment="1">
      <alignment horizontal="left" vertical="center" shrinkToFi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 indent="2"/>
    </xf>
    <xf numFmtId="0" fontId="0" fillId="0" borderId="0" xfId="0" applyNumberFormat="1" applyFont="1" applyAlignment="1">
      <alignment horizontal="left" wrapText="1"/>
    </xf>
    <xf numFmtId="0" fontId="0" fillId="0" borderId="0" xfId="0" applyNumberFormat="1" applyFont="1" applyAlignment="1">
      <alignment vertical="center" wrapText="1"/>
    </xf>
    <xf numFmtId="0" fontId="0" fillId="3" borderId="0" xfId="0" applyNumberFormat="1" applyFill="1" applyAlignment="1">
      <alignment vertical="center" shrinkToFit="1"/>
    </xf>
    <xf numFmtId="0" fontId="0" fillId="3" borderId="0" xfId="0" applyNumberFormat="1" applyFill="1" applyAlignment="1">
      <alignment horizontal="center" vertical="center"/>
    </xf>
    <xf numFmtId="41" fontId="0" fillId="3" borderId="0" xfId="0" applyNumberFormat="1" applyFill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 shrinkToFit="1"/>
    </xf>
    <xf numFmtId="41" fontId="0" fillId="3" borderId="18" xfId="1" applyNumberFormat="1" applyFont="1" applyFill="1" applyBorder="1" applyAlignment="1">
      <alignment vertical="center" shrinkToFit="1"/>
    </xf>
    <xf numFmtId="3" fontId="0" fillId="3" borderId="4" xfId="0" applyNumberFormat="1" applyFont="1" applyFill="1" applyBorder="1" applyAlignment="1">
      <alignment horizontal="right" vertical="center" wrapText="1"/>
    </xf>
    <xf numFmtId="41" fontId="0" fillId="3" borderId="18" xfId="1" applyNumberFormat="1" applyFont="1" applyFill="1" applyBorder="1" applyAlignment="1">
      <alignment horizontal="center" vertical="top" shrinkToFit="1"/>
    </xf>
    <xf numFmtId="41" fontId="0" fillId="3" borderId="20" xfId="1" applyNumberFormat="1" applyFont="1" applyFill="1" applyBorder="1" applyAlignment="1">
      <alignment horizontal="center" vertical="top" shrinkToFit="1"/>
    </xf>
    <xf numFmtId="41" fontId="0" fillId="3" borderId="21" xfId="1" applyNumberFormat="1" applyFont="1" applyFill="1" applyBorder="1" applyAlignment="1">
      <alignment horizontal="center" vertical="top" shrinkToFit="1"/>
    </xf>
    <xf numFmtId="41" fontId="0" fillId="3" borderId="22" xfId="1" applyNumberFormat="1" applyFont="1" applyFill="1" applyBorder="1" applyAlignment="1">
      <alignment horizontal="center" vertical="top" shrinkToFit="1"/>
    </xf>
    <xf numFmtId="41" fontId="0" fillId="3" borderId="23" xfId="1" applyNumberFormat="1" applyFont="1" applyFill="1" applyBorder="1" applyAlignment="1">
      <alignment horizontal="center" vertical="top" shrinkToFit="1"/>
    </xf>
    <xf numFmtId="0" fontId="0" fillId="3" borderId="18" xfId="0" applyNumberFormat="1" applyFont="1" applyFill="1" applyBorder="1" applyAlignment="1">
      <alignment horizontal="center" vertical="top" shrinkToFit="1"/>
    </xf>
    <xf numFmtId="0" fontId="0" fillId="3" borderId="19" xfId="0" applyNumberFormat="1" applyFont="1" applyFill="1" applyBorder="1" applyAlignment="1">
      <alignment horizontal="center" vertical="top" shrinkToFit="1"/>
    </xf>
    <xf numFmtId="0" fontId="0" fillId="3" borderId="20" xfId="0" applyNumberFormat="1" applyFont="1" applyFill="1" applyBorder="1" applyAlignment="1">
      <alignment horizontal="center" vertical="top" shrinkToFit="1"/>
    </xf>
    <xf numFmtId="0" fontId="0" fillId="3" borderId="21" xfId="0" applyNumberFormat="1" applyFont="1" applyFill="1" applyBorder="1" applyAlignment="1">
      <alignment horizontal="center" vertical="top" shrinkToFit="1"/>
    </xf>
    <xf numFmtId="0" fontId="0" fillId="3" borderId="22" xfId="0" applyNumberFormat="1" applyFont="1" applyFill="1" applyBorder="1" applyAlignment="1">
      <alignment horizontal="center" vertical="top" shrinkToFit="1"/>
    </xf>
    <xf numFmtId="41" fontId="0" fillId="3" borderId="18" xfId="1" applyNumberFormat="1" applyFont="1" applyFill="1" applyBorder="1" applyAlignment="1">
      <alignment horizontal="center" vertical="center" shrinkToFit="1"/>
    </xf>
    <xf numFmtId="41" fontId="0" fillId="3" borderId="20" xfId="1" applyNumberFormat="1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/>
    </xf>
    <xf numFmtId="178" fontId="0" fillId="3" borderId="4" xfId="0" applyNumberFormat="1" applyFont="1" applyFill="1" applyBorder="1" applyAlignment="1">
      <alignment horizontal="center" vertical="center" shrinkToFit="1"/>
    </xf>
    <xf numFmtId="176" fontId="0" fillId="0" borderId="4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vertical="center"/>
    </xf>
    <xf numFmtId="41" fontId="0" fillId="0" borderId="0" xfId="0" applyNumberFormat="1" applyFont="1" applyBorder="1" applyAlignment="1">
      <alignment vertical="center"/>
    </xf>
    <xf numFmtId="0" fontId="0" fillId="3" borderId="0" xfId="0" applyNumberFormat="1" applyFont="1" applyFill="1" applyBorder="1" applyAlignment="1">
      <alignment vertical="center"/>
    </xf>
    <xf numFmtId="0" fontId="0" fillId="3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176" fontId="0" fillId="3" borderId="4" xfId="0" applyNumberFormat="1" applyFont="1" applyFill="1" applyBorder="1" applyAlignment="1">
      <alignment horizontal="right" vertical="center" shrinkToFit="1"/>
    </xf>
    <xf numFmtId="176" fontId="0" fillId="0" borderId="4" xfId="0" applyNumberFormat="1" applyFont="1" applyFill="1" applyBorder="1" applyAlignment="1">
      <alignment horizontal="right" vertical="center" shrinkToFit="1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3" fontId="0" fillId="0" borderId="4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>
      <alignment vertical="center"/>
    </xf>
    <xf numFmtId="3" fontId="0" fillId="0" borderId="6" xfId="0" applyNumberFormat="1" applyFont="1" applyFill="1" applyBorder="1" applyAlignment="1">
      <alignment vertical="center"/>
    </xf>
    <xf numFmtId="3" fontId="7" fillId="0" borderId="4" xfId="0" applyNumberFormat="1" applyFont="1" applyFill="1" applyBorder="1" applyAlignment="1">
      <alignment vertical="center"/>
    </xf>
    <xf numFmtId="0" fontId="0" fillId="3" borderId="0" xfId="0" applyNumberFormat="1" applyFont="1" applyFill="1" applyAlignment="1">
      <alignment vertical="center" shrinkToFit="1"/>
    </xf>
    <xf numFmtId="0" fontId="0" fillId="3" borderId="0" xfId="0" applyNumberFormat="1" applyFont="1" applyFill="1" applyBorder="1" applyAlignment="1">
      <alignment vertical="center"/>
    </xf>
    <xf numFmtId="178" fontId="0" fillId="3" borderId="4" xfId="0" applyNumberFormat="1" applyFont="1" applyFill="1" applyBorder="1" applyAlignment="1">
      <alignment vertical="center" shrinkToFit="1"/>
    </xf>
    <xf numFmtId="178" fontId="7" fillId="3" borderId="4" xfId="0" applyNumberFormat="1" applyFont="1" applyFill="1" applyBorder="1" applyAlignment="1">
      <alignment vertical="center" shrinkToFit="1"/>
    </xf>
    <xf numFmtId="0" fontId="0" fillId="0" borderId="4" xfId="0" applyNumberFormat="1" applyFont="1" applyFill="1" applyBorder="1" applyAlignment="1">
      <alignment horizontal="justify" vertical="center" wrapText="1"/>
    </xf>
    <xf numFmtId="0" fontId="7" fillId="0" borderId="4" xfId="0" applyNumberFormat="1" applyFont="1" applyFill="1" applyBorder="1" applyAlignment="1">
      <alignment horizontal="justify" vertical="center" wrapText="1"/>
    </xf>
    <xf numFmtId="0" fontId="7" fillId="3" borderId="4" xfId="0" applyNumberFormat="1" applyFont="1" applyFill="1" applyBorder="1" applyAlignment="1">
      <alignment horizontal="justify" vertical="center" wrapText="1"/>
    </xf>
    <xf numFmtId="0" fontId="0" fillId="3" borderId="4" xfId="0" applyNumberFormat="1" applyFont="1" applyFill="1" applyBorder="1" applyAlignment="1">
      <alignment horizontal="justify" vertical="center" wrapText="1"/>
    </xf>
    <xf numFmtId="0" fontId="0" fillId="3" borderId="4" xfId="0" applyNumberFormat="1" applyFont="1" applyFill="1" applyBorder="1" applyAlignment="1">
      <alignment horizontal="justify" vertical="center" shrinkToFit="1"/>
    </xf>
    <xf numFmtId="0" fontId="7" fillId="3" borderId="4" xfId="0" applyNumberFormat="1" applyFont="1" applyFill="1" applyBorder="1" applyAlignment="1">
      <alignment horizontal="justify" vertical="center" shrinkToFit="1"/>
    </xf>
    <xf numFmtId="178" fontId="0" fillId="3" borderId="4" xfId="4" applyNumberFormat="1" applyFont="1" applyFill="1" applyBorder="1" applyAlignment="1">
      <alignment vertical="center" shrinkToFit="1"/>
    </xf>
    <xf numFmtId="0" fontId="0" fillId="3" borderId="4" xfId="0" applyNumberFormat="1" applyFont="1" applyFill="1" applyBorder="1">
      <alignment vertical="center"/>
    </xf>
    <xf numFmtId="178" fontId="0" fillId="3" borderId="4" xfId="4" applyNumberFormat="1" applyFont="1" applyFill="1" applyBorder="1" applyAlignment="1">
      <alignment vertical="center"/>
    </xf>
    <xf numFmtId="178" fontId="0" fillId="3" borderId="0" xfId="0" applyNumberFormat="1" applyFont="1" applyFill="1" applyAlignment="1">
      <alignment vertical="center" shrinkToFit="1"/>
    </xf>
    <xf numFmtId="0" fontId="0" fillId="3" borderId="18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>
      <alignment vertical="center"/>
    </xf>
    <xf numFmtId="0" fontId="8" fillId="0" borderId="9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vertical="center"/>
    </xf>
    <xf numFmtId="41" fontId="0" fillId="0" borderId="9" xfId="0" applyNumberFormat="1" applyFont="1" applyBorder="1" applyAlignment="1">
      <alignment vertical="center"/>
    </xf>
    <xf numFmtId="0" fontId="0" fillId="0" borderId="9" xfId="0" applyNumberFormat="1" applyFont="1" applyBorder="1" applyAlignment="1">
      <alignment horizontal="right" vertical="center"/>
    </xf>
    <xf numFmtId="0" fontId="0" fillId="3" borderId="4" xfId="0" applyNumberFormat="1" applyFont="1" applyFill="1" applyBorder="1" applyAlignment="1">
      <alignment vertical="center" shrinkToFit="1"/>
    </xf>
    <xf numFmtId="176" fontId="0" fillId="3" borderId="0" xfId="0" applyNumberFormat="1" applyFill="1" applyAlignment="1">
      <alignment vertical="center"/>
    </xf>
    <xf numFmtId="176" fontId="0" fillId="3" borderId="4" xfId="1" applyNumberFormat="1" applyFont="1" applyFill="1" applyBorder="1" applyAlignment="1">
      <alignment horizontal="right" vertical="center" shrinkToFit="1"/>
    </xf>
    <xf numFmtId="176" fontId="0" fillId="3" borderId="4" xfId="1" applyNumberFormat="1" applyFont="1" applyFill="1" applyBorder="1" applyAlignment="1">
      <alignment vertical="center" shrinkToFit="1"/>
    </xf>
    <xf numFmtId="176" fontId="0" fillId="3" borderId="4" xfId="0" applyNumberFormat="1" applyFill="1" applyBorder="1" applyAlignment="1">
      <alignment vertical="center"/>
    </xf>
    <xf numFmtId="177" fontId="0" fillId="0" borderId="4" xfId="1" applyNumberFormat="1" applyFont="1" applyBorder="1" applyAlignment="1">
      <alignment vertical="center" shrinkToFit="1"/>
    </xf>
    <xf numFmtId="177" fontId="0" fillId="0" borderId="0" xfId="0" applyNumberFormat="1" applyAlignment="1">
      <alignment vertical="center" shrinkToFit="1"/>
    </xf>
    <xf numFmtId="177" fontId="0" fillId="0" borderId="4" xfId="0" applyNumberFormat="1" applyFont="1" applyBorder="1" applyAlignment="1">
      <alignment horizontal="center" vertical="center" shrinkToFit="1"/>
    </xf>
    <xf numFmtId="177" fontId="0" fillId="0" borderId="7" xfId="0" applyNumberFormat="1" applyFont="1" applyBorder="1" applyAlignment="1">
      <alignment horizontal="center" vertical="center" shrinkToFit="1"/>
    </xf>
    <xf numFmtId="0" fontId="0" fillId="3" borderId="6" xfId="0" applyNumberFormat="1" applyFont="1" applyFill="1" applyBorder="1" applyAlignment="1">
      <alignment horizontal="center" vertical="center"/>
    </xf>
    <xf numFmtId="176" fontId="0" fillId="3" borderId="6" xfId="0" applyNumberFormat="1" applyFill="1" applyBorder="1" applyAlignment="1">
      <alignment vertical="center"/>
    </xf>
    <xf numFmtId="177" fontId="0" fillId="0" borderId="4" xfId="1" applyNumberFormat="1" applyFont="1" applyBorder="1" applyAlignment="1">
      <alignment horizontal="right" vertical="center" shrinkToFit="1"/>
    </xf>
    <xf numFmtId="176" fontId="0" fillId="3" borderId="18" xfId="1" applyNumberFormat="1" applyFont="1" applyFill="1" applyBorder="1" applyAlignment="1">
      <alignment vertical="center" shrinkToFit="1"/>
    </xf>
    <xf numFmtId="177" fontId="0" fillId="0" borderId="18" xfId="1" applyNumberFormat="1" applyFont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0" fontId="2" fillId="0" borderId="25" xfId="0" applyNumberFormat="1" applyFont="1" applyBorder="1" applyAlignment="1"/>
    <xf numFmtId="0" fontId="2" fillId="0" borderId="26" xfId="0" applyNumberFormat="1" applyFont="1" applyBorder="1" applyAlignment="1"/>
    <xf numFmtId="184" fontId="0" fillId="0" borderId="7" xfId="1" applyNumberFormat="1" applyFont="1" applyBorder="1" applyAlignment="1">
      <alignment vertical="center" shrinkToFit="1"/>
    </xf>
    <xf numFmtId="184" fontId="0" fillId="0" borderId="27" xfId="1" applyNumberFormat="1" applyFont="1" applyBorder="1" applyAlignment="1">
      <alignment vertical="center" shrinkToFit="1"/>
    </xf>
    <xf numFmtId="184" fontId="0" fillId="0" borderId="7" xfId="1" applyNumberFormat="1" applyFont="1" applyBorder="1" applyAlignment="1">
      <alignment horizontal="right" vertical="center" shrinkToFit="1"/>
    </xf>
    <xf numFmtId="0" fontId="0" fillId="0" borderId="0" xfId="0" applyNumberFormat="1" applyFont="1" applyBorder="1" applyAlignment="1">
      <alignment horizontal="left" vertical="center"/>
    </xf>
    <xf numFmtId="0" fontId="0" fillId="0" borderId="13" xfId="0" applyNumberFormat="1" applyFont="1" applyBorder="1" applyAlignment="1">
      <alignment horizontal="left" vertical="center" indent="1"/>
    </xf>
    <xf numFmtId="0" fontId="0" fillId="0" borderId="14" xfId="0" applyNumberFormat="1" applyFont="1" applyBorder="1" applyAlignment="1">
      <alignment horizontal="left" vertical="center"/>
    </xf>
    <xf numFmtId="176" fontId="4" fillId="0" borderId="28" xfId="3" applyNumberFormat="1" applyFont="1" applyBorder="1" applyAlignment="1">
      <alignment horizontal="center" vertical="center"/>
    </xf>
    <xf numFmtId="176" fontId="4" fillId="0" borderId="29" xfId="3" applyNumberFormat="1" applyFont="1" applyBorder="1" applyAlignment="1">
      <alignment horizontal="center" vertical="center"/>
    </xf>
    <xf numFmtId="181" fontId="4" fillId="0" borderId="30" xfId="3" applyNumberFormat="1" applyFont="1" applyBorder="1" applyAlignment="1">
      <alignment horizontal="center" vertical="center"/>
    </xf>
    <xf numFmtId="182" fontId="4" fillId="0" borderId="31" xfId="3" applyNumberFormat="1" applyFont="1" applyBorder="1" applyAlignment="1">
      <alignment horizontal="right" vertical="center"/>
    </xf>
    <xf numFmtId="0" fontId="5" fillId="0" borderId="32" xfId="3" applyNumberFormat="1" applyFont="1" applyBorder="1" applyAlignment="1">
      <alignment horizontal="center" vertical="center"/>
    </xf>
    <xf numFmtId="182" fontId="5" fillId="0" borderId="33" xfId="3" applyNumberFormat="1" applyFont="1" applyBorder="1" applyAlignment="1">
      <alignment horizontal="right" vertical="center"/>
    </xf>
    <xf numFmtId="0" fontId="5" fillId="0" borderId="28" xfId="3" applyNumberFormat="1" applyFont="1" applyBorder="1" applyAlignment="1">
      <alignment horizontal="center" vertical="center"/>
    </xf>
    <xf numFmtId="0" fontId="5" fillId="0" borderId="34" xfId="3" applyNumberFormat="1" applyFont="1" applyBorder="1" applyAlignment="1">
      <alignment horizontal="center" vertical="center"/>
    </xf>
    <xf numFmtId="41" fontId="5" fillId="0" borderId="35" xfId="1" applyNumberFormat="1" applyFont="1" applyBorder="1" applyAlignment="1">
      <alignment horizontal="right" vertical="center"/>
    </xf>
    <xf numFmtId="176" fontId="5" fillId="3" borderId="35" xfId="3" applyNumberFormat="1" applyFont="1" applyFill="1" applyBorder="1" applyAlignment="1">
      <alignment horizontal="center" vertical="center"/>
    </xf>
    <xf numFmtId="182" fontId="5" fillId="0" borderId="36" xfId="3" applyNumberFormat="1" applyFont="1" applyBorder="1" applyAlignment="1">
      <alignment horizontal="right" vertical="center"/>
    </xf>
    <xf numFmtId="0" fontId="0" fillId="0" borderId="25" xfId="0" applyNumberFormat="1" applyBorder="1" applyAlignment="1"/>
    <xf numFmtId="0" fontId="0" fillId="0" borderId="0" xfId="0" applyNumberFormat="1" applyBorder="1" applyAlignment="1"/>
    <xf numFmtId="0" fontId="0" fillId="0" borderId="26" xfId="0" applyNumberFormat="1" applyBorder="1" applyAlignment="1"/>
    <xf numFmtId="0" fontId="0" fillId="3" borderId="20" xfId="0" applyNumberFormat="1" applyFont="1" applyFill="1" applyBorder="1" applyAlignment="1">
      <alignment horizontal="center" vertical="center" shrinkToFit="1"/>
    </xf>
    <xf numFmtId="41" fontId="0" fillId="3" borderId="19" xfId="1" applyNumberFormat="1" applyFont="1" applyFill="1" applyBorder="1" applyAlignment="1">
      <alignment horizontal="center" vertical="top" shrinkToFit="1"/>
    </xf>
    <xf numFmtId="41" fontId="0" fillId="3" borderId="19" xfId="1" applyNumberFormat="1" applyFont="1" applyFill="1" applyBorder="1" applyAlignment="1">
      <alignment vertical="top" shrinkToFit="1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9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41" fontId="7" fillId="0" borderId="4" xfId="1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2" borderId="4" xfId="0" applyNumberFormat="1" applyFont="1" applyFill="1" applyBorder="1" applyAlignment="1">
      <alignment horizontal="center" vertical="center"/>
    </xf>
    <xf numFmtId="178" fontId="0" fillId="3" borderId="4" xfId="0" applyNumberFormat="1" applyFont="1" applyFill="1" applyBorder="1" applyAlignment="1">
      <alignment horizontal="left" vertical="center" shrinkToFit="1"/>
    </xf>
    <xf numFmtId="178" fontId="7" fillId="3" borderId="4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>
      <alignment vertical="center"/>
    </xf>
    <xf numFmtId="0" fontId="7" fillId="0" borderId="0" xfId="0" applyNumberFormat="1" applyFont="1">
      <alignment vertical="center"/>
    </xf>
    <xf numFmtId="0" fontId="7" fillId="3" borderId="4" xfId="0" applyNumberFormat="1" applyFont="1" applyFill="1" applyBorder="1" applyAlignment="1">
      <alignment horizontal="center" vertical="center" shrinkToFit="1"/>
    </xf>
    <xf numFmtId="41" fontId="7" fillId="3" borderId="4" xfId="0" applyNumberFormat="1" applyFont="1" applyFill="1" applyBorder="1" applyAlignment="1">
      <alignment horizontal="right" vertical="center" wrapText="1"/>
    </xf>
    <xf numFmtId="0" fontId="7" fillId="3" borderId="0" xfId="0" applyNumberFormat="1" applyFont="1" applyFill="1">
      <alignment vertical="center"/>
    </xf>
    <xf numFmtId="3" fontId="7" fillId="0" borderId="4" xfId="0" applyNumberFormat="1" applyFont="1" applyFill="1" applyBorder="1" applyAlignment="1">
      <alignment horizontal="right" vertical="center"/>
    </xf>
    <xf numFmtId="0" fontId="3" fillId="0" borderId="3" xfId="0" applyNumberFormat="1" applyFont="1" applyBorder="1" applyAlignment="1">
      <alignment horizontal="center" vertical="center" shrinkToFit="1"/>
    </xf>
    <xf numFmtId="0" fontId="7" fillId="0" borderId="4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right" vertical="center"/>
    </xf>
    <xf numFmtId="0" fontId="3" fillId="0" borderId="0" xfId="0" applyNumberFormat="1" applyFo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3" fillId="3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horizontal="left" vertical="center" shrinkToFit="1"/>
    </xf>
    <xf numFmtId="0" fontId="0" fillId="0" borderId="0" xfId="0" applyNumberFormat="1" applyFont="1" applyFill="1" applyAlignment="1">
      <alignment horizontal="right" vertical="center"/>
    </xf>
    <xf numFmtId="41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right" vertical="center"/>
    </xf>
    <xf numFmtId="41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 shrinkToFit="1"/>
    </xf>
    <xf numFmtId="0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>
      <alignment vertical="center"/>
    </xf>
    <xf numFmtId="41" fontId="0" fillId="3" borderId="18" xfId="0" applyNumberFormat="1" applyFont="1" applyFill="1" applyBorder="1" applyAlignment="1">
      <alignment horizontal="right" vertical="center" wrapText="1"/>
    </xf>
    <xf numFmtId="41" fontId="0" fillId="3" borderId="6" xfId="0" applyNumberFormat="1" applyFont="1" applyFill="1" applyBorder="1" applyAlignment="1">
      <alignment horizontal="right" vertical="center" wrapText="1"/>
    </xf>
    <xf numFmtId="41" fontId="0" fillId="3" borderId="39" xfId="1" applyNumberFormat="1" applyFont="1" applyFill="1" applyBorder="1" applyAlignment="1">
      <alignment horizontal="center" vertical="top" shrinkToFit="1"/>
    </xf>
    <xf numFmtId="0" fontId="0" fillId="3" borderId="19" xfId="0" applyNumberFormat="1" applyFill="1" applyBorder="1" applyAlignment="1">
      <alignment horizontal="center" vertical="center"/>
    </xf>
    <xf numFmtId="0" fontId="0" fillId="3" borderId="19" xfId="0" applyNumberFormat="1" applyFont="1" applyFill="1" applyBorder="1" applyAlignment="1">
      <alignment horizontal="center" vertical="center"/>
    </xf>
    <xf numFmtId="41" fontId="0" fillId="3" borderId="4" xfId="1" applyNumberFormat="1" applyFont="1" applyFill="1" applyBorder="1" applyAlignment="1">
      <alignment vertical="top" shrinkToFit="1"/>
    </xf>
    <xf numFmtId="178" fontId="0" fillId="3" borderId="4" xfId="0" applyNumberFormat="1" applyFont="1" applyFill="1" applyBorder="1" applyAlignment="1">
      <alignment vertical="center"/>
    </xf>
    <xf numFmtId="0" fontId="0" fillId="3" borderId="6" xfId="0" applyNumberFormat="1" applyFont="1" applyFill="1" applyBorder="1">
      <alignment vertical="center"/>
    </xf>
    <xf numFmtId="176" fontId="0" fillId="0" borderId="6" xfId="0" applyNumberFormat="1" applyFont="1" applyFill="1" applyBorder="1" applyAlignment="1">
      <alignment horizontal="right" vertical="center" shrinkToFit="1"/>
    </xf>
    <xf numFmtId="0" fontId="0" fillId="3" borderId="18" xfId="0" applyNumberFormat="1" applyFont="1" applyFill="1" applyBorder="1" applyAlignment="1">
      <alignment horizontal="center" vertical="center" shrinkToFit="1"/>
    </xf>
    <xf numFmtId="177" fontId="6" fillId="3" borderId="0" xfId="0" applyNumberFormat="1" applyFont="1" applyFill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0" fillId="0" borderId="0" xfId="0" applyNumberFormat="1" applyFont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>
      <alignment vertical="center"/>
    </xf>
    <xf numFmtId="177" fontId="1" fillId="3" borderId="4" xfId="0" applyNumberFormat="1" applyFont="1" applyFill="1" applyBorder="1" applyAlignment="1">
      <alignment vertical="center"/>
    </xf>
    <xf numFmtId="178" fontId="1" fillId="3" borderId="4" xfId="0" applyNumberFormat="1" applyFont="1" applyFill="1" applyBorder="1" applyAlignment="1">
      <alignment vertical="center" shrinkToFit="1"/>
    </xf>
    <xf numFmtId="0" fontId="1" fillId="3" borderId="4" xfId="0" applyNumberFormat="1" applyFont="1" applyFill="1" applyBorder="1" applyAlignment="1">
      <alignment horizontal="justify" vertical="center" wrapText="1"/>
    </xf>
    <xf numFmtId="0" fontId="1" fillId="3" borderId="4" xfId="0" applyNumberFormat="1" applyFont="1" applyFill="1" applyBorder="1">
      <alignment vertical="center"/>
    </xf>
    <xf numFmtId="0" fontId="0" fillId="0" borderId="13" xfId="0" applyNumberFormat="1" applyFont="1" applyBorder="1" applyAlignment="1">
      <alignment horizontal="left" vertical="center" indent="1"/>
    </xf>
    <xf numFmtId="0" fontId="0" fillId="0" borderId="13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 shrinkToFit="1"/>
    </xf>
    <xf numFmtId="0" fontId="0" fillId="3" borderId="4" xfId="0" applyNumberFormat="1" applyFont="1" applyFill="1" applyBorder="1" applyAlignment="1">
      <alignment vertical="center"/>
    </xf>
    <xf numFmtId="0" fontId="1" fillId="0" borderId="4" xfId="0" applyNumberFormat="1" applyFont="1" applyBorder="1" applyAlignment="1">
      <alignment horizontal="center" vertical="center" shrinkToFit="1"/>
    </xf>
    <xf numFmtId="178" fontId="0" fillId="3" borderId="6" xfId="0" applyNumberFormat="1" applyFont="1" applyFill="1" applyBorder="1" applyAlignment="1">
      <alignment horizontal="center" vertical="center" shrinkToFit="1"/>
    </xf>
    <xf numFmtId="176" fontId="0" fillId="3" borderId="0" xfId="0" applyNumberFormat="1" applyFill="1" applyAlignment="1">
      <alignment vertical="center" shrinkToFit="1"/>
    </xf>
    <xf numFmtId="176" fontId="0" fillId="3" borderId="4" xfId="0" applyNumberFormat="1" applyFont="1" applyFill="1" applyBorder="1" applyAlignment="1">
      <alignment horizontal="center" vertical="center" shrinkToFit="1"/>
    </xf>
    <xf numFmtId="176" fontId="0" fillId="3" borderId="20" xfId="1" applyNumberFormat="1" applyFont="1" applyFill="1" applyBorder="1" applyAlignment="1">
      <alignment horizontal="right" vertical="center" shrinkToFit="1"/>
    </xf>
    <xf numFmtId="177" fontId="0" fillId="0" borderId="6" xfId="1" applyNumberFormat="1" applyFont="1" applyBorder="1" applyAlignment="1">
      <alignment horizontal="right" vertical="center" shrinkToFit="1"/>
    </xf>
    <xf numFmtId="184" fontId="0" fillId="0" borderId="8" xfId="1" applyNumberFormat="1" applyFont="1" applyBorder="1" applyAlignment="1">
      <alignment horizontal="right" vertical="center" shrinkToFit="1"/>
    </xf>
    <xf numFmtId="0" fontId="1" fillId="3" borderId="18" xfId="0" applyNumberFormat="1" applyFont="1" applyFill="1" applyBorder="1" applyAlignment="1">
      <alignment horizontal="center" vertical="center"/>
    </xf>
    <xf numFmtId="176" fontId="0" fillId="3" borderId="6" xfId="1" applyNumberFormat="1" applyFont="1" applyFill="1" applyBorder="1" applyAlignment="1">
      <alignment vertical="center" shrinkToFit="1"/>
    </xf>
    <xf numFmtId="176" fontId="2" fillId="0" borderId="0" xfId="0" applyNumberFormat="1" applyFont="1" applyAlignment="1"/>
    <xf numFmtId="41" fontId="0" fillId="3" borderId="49" xfId="1" applyNumberFormat="1" applyFont="1" applyFill="1" applyBorder="1" applyAlignment="1">
      <alignment horizontal="center" vertical="top" shrinkToFit="1"/>
    </xf>
    <xf numFmtId="41" fontId="0" fillId="3" borderId="41" xfId="1" applyNumberFormat="1" applyFont="1" applyFill="1" applyBorder="1" applyAlignment="1">
      <alignment horizontal="center" vertical="top" shrinkToFit="1"/>
    </xf>
    <xf numFmtId="41" fontId="0" fillId="3" borderId="41" xfId="1" applyNumberFormat="1" applyFont="1" applyFill="1" applyBorder="1" applyAlignment="1">
      <alignment vertical="top" shrinkToFit="1"/>
    </xf>
    <xf numFmtId="0" fontId="0" fillId="3" borderId="41" xfId="0" applyNumberFormat="1" applyFont="1" applyFill="1" applyBorder="1" applyAlignment="1">
      <alignment horizontal="center" vertical="center"/>
    </xf>
    <xf numFmtId="0" fontId="0" fillId="3" borderId="41" xfId="0" applyNumberFormat="1" applyFill="1" applyBorder="1" applyAlignment="1">
      <alignment horizontal="center" vertical="center"/>
    </xf>
    <xf numFmtId="0" fontId="0" fillId="3" borderId="40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176" fontId="0" fillId="3" borderId="4" xfId="0" applyNumberFormat="1" applyFont="1" applyFill="1" applyBorder="1" applyAlignment="1">
      <alignment vertical="center"/>
    </xf>
    <xf numFmtId="180" fontId="0" fillId="3" borderId="4" xfId="1" applyNumberFormat="1" applyFont="1" applyFill="1" applyBorder="1" applyAlignment="1">
      <alignment vertical="center" shrinkToFit="1"/>
    </xf>
    <xf numFmtId="43" fontId="0" fillId="3" borderId="4" xfId="1" applyNumberFormat="1" applyFont="1" applyFill="1" applyBorder="1" applyAlignment="1">
      <alignment horizontal="center" vertical="center" shrinkToFit="1"/>
    </xf>
    <xf numFmtId="0" fontId="2" fillId="3" borderId="4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 shrinkToFit="1"/>
    </xf>
    <xf numFmtId="0" fontId="2" fillId="3" borderId="4" xfId="0" applyNumberFormat="1" applyFont="1" applyFill="1" applyBorder="1" applyAlignment="1">
      <alignment vertical="center" shrinkToFit="1"/>
    </xf>
    <xf numFmtId="0" fontId="0" fillId="3" borderId="4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vertical="center"/>
    </xf>
    <xf numFmtId="176" fontId="0" fillId="3" borderId="4" xfId="0" applyNumberFormat="1" applyFill="1" applyBorder="1" applyAlignment="1">
      <alignment vertical="center" shrinkToFit="1"/>
    </xf>
    <xf numFmtId="0" fontId="0" fillId="3" borderId="4" xfId="0" applyNumberFormat="1" applyFill="1" applyBorder="1" applyAlignment="1">
      <alignment vertical="center" shrinkToFit="1"/>
    </xf>
    <xf numFmtId="177" fontId="0" fillId="0" borderId="18" xfId="1" applyNumberFormat="1" applyFont="1" applyBorder="1" applyAlignment="1">
      <alignment horizontal="right" vertical="center" shrinkToFit="1"/>
    </xf>
    <xf numFmtId="177" fontId="0" fillId="0" borderId="4" xfId="0" applyNumberFormat="1" applyBorder="1" applyAlignment="1">
      <alignment vertical="center" shrinkToFit="1"/>
    </xf>
    <xf numFmtId="0" fontId="2" fillId="3" borderId="3" xfId="0" applyNumberFormat="1" applyFon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177" fontId="0" fillId="0" borderId="7" xfId="0" applyNumberFormat="1" applyBorder="1" applyAlignment="1">
      <alignment vertical="center" shrinkToFit="1"/>
    </xf>
    <xf numFmtId="0" fontId="0" fillId="3" borderId="5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vertical="center"/>
    </xf>
    <xf numFmtId="176" fontId="0" fillId="3" borderId="6" xfId="0" applyNumberFormat="1" applyFill="1" applyBorder="1" applyAlignment="1">
      <alignment vertical="center" shrinkToFit="1"/>
    </xf>
    <xf numFmtId="0" fontId="0" fillId="3" borderId="6" xfId="0" applyNumberFormat="1" applyFill="1" applyBorder="1" applyAlignment="1">
      <alignment vertical="center" shrinkToFit="1"/>
    </xf>
    <xf numFmtId="177" fontId="0" fillId="0" borderId="6" xfId="0" applyNumberFormat="1" applyBorder="1" applyAlignment="1">
      <alignment vertical="center" shrinkToFit="1"/>
    </xf>
    <xf numFmtId="177" fontId="0" fillId="0" borderId="8" xfId="0" applyNumberFormat="1" applyBorder="1" applyAlignment="1">
      <alignment vertical="center" shrinkToFit="1"/>
    </xf>
    <xf numFmtId="41" fontId="0" fillId="3" borderId="3" xfId="1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shrinkToFit="1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vertical="center"/>
    </xf>
    <xf numFmtId="176" fontId="2" fillId="3" borderId="6" xfId="0" applyNumberFormat="1" applyFont="1" applyFill="1" applyBorder="1" applyAlignment="1">
      <alignment vertical="center" shrinkToFit="1"/>
    </xf>
    <xf numFmtId="0" fontId="2" fillId="3" borderId="6" xfId="0" applyNumberFormat="1" applyFont="1" applyFill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top" shrinkToFit="1"/>
    </xf>
    <xf numFmtId="41" fontId="0" fillId="3" borderId="24" xfId="1" applyNumberFormat="1" applyFont="1" applyFill="1" applyBorder="1" applyAlignment="1">
      <alignment vertical="top" shrinkToFit="1"/>
    </xf>
    <xf numFmtId="0" fontId="0" fillId="3" borderId="6" xfId="0" applyNumberFormat="1" applyFont="1" applyFill="1" applyBorder="1" applyAlignment="1">
      <alignment horizontal="center" vertical="center" shrinkToFit="1"/>
    </xf>
    <xf numFmtId="0" fontId="1" fillId="0" borderId="13" xfId="0" applyNumberFormat="1" applyFont="1" applyBorder="1" applyAlignment="1">
      <alignment horizontal="left" vertical="center" indent="1"/>
    </xf>
    <xf numFmtId="178" fontId="0" fillId="5" borderId="4" xfId="0" applyNumberFormat="1" applyFont="1" applyFill="1" applyBorder="1" applyAlignment="1">
      <alignment vertical="center" shrinkToFit="1"/>
    </xf>
    <xf numFmtId="3" fontId="0" fillId="5" borderId="4" xfId="0" applyNumberFormat="1" applyFont="1" applyFill="1" applyBorder="1">
      <alignment vertical="center"/>
    </xf>
    <xf numFmtId="0" fontId="0" fillId="5" borderId="4" xfId="0" applyNumberFormat="1" applyFont="1" applyFill="1" applyBorder="1">
      <alignment vertical="center"/>
    </xf>
    <xf numFmtId="0" fontId="0" fillId="5" borderId="4" xfId="10" applyNumberFormat="1" applyFont="1" applyFill="1" applyBorder="1" applyAlignment="1">
      <alignment vertical="center" shrinkToFit="1"/>
    </xf>
    <xf numFmtId="0" fontId="0" fillId="5" borderId="4" xfId="10" applyNumberFormat="1" applyFont="1" applyFill="1" applyBorder="1">
      <alignment vertical="center"/>
    </xf>
    <xf numFmtId="177" fontId="0" fillId="5" borderId="4" xfId="10" applyNumberFormat="1" applyFont="1" applyFill="1" applyBorder="1">
      <alignment vertical="center"/>
    </xf>
    <xf numFmtId="0" fontId="1" fillId="5" borderId="4" xfId="0" applyNumberFormat="1" applyFont="1" applyFill="1" applyBorder="1" applyAlignment="1">
      <alignment vertical="center" shrinkToFit="1"/>
    </xf>
    <xf numFmtId="178" fontId="1" fillId="5" borderId="18" xfId="0" applyNumberFormat="1" applyFont="1" applyFill="1" applyBorder="1" applyAlignment="1">
      <alignment horizontal="left" vertical="center" shrinkToFit="1"/>
    </xf>
    <xf numFmtId="3" fontId="0" fillId="3" borderId="4" xfId="0" applyNumberFormat="1" applyFill="1" applyBorder="1">
      <alignment vertical="center"/>
    </xf>
    <xf numFmtId="178" fontId="1" fillId="3" borderId="4" xfId="0" applyNumberFormat="1" applyFont="1" applyFill="1" applyBorder="1" applyAlignment="1">
      <alignment horizontal="center" vertical="center" shrinkToFit="1"/>
    </xf>
    <xf numFmtId="178" fontId="1" fillId="3" borderId="4" xfId="4" applyNumberFormat="1" applyFont="1" applyFill="1" applyBorder="1" applyAlignment="1">
      <alignment vertical="center"/>
    </xf>
    <xf numFmtId="3" fontId="1" fillId="3" borderId="4" xfId="4" applyNumberFormat="1" applyFont="1" applyFill="1" applyBorder="1">
      <alignment vertical="center"/>
    </xf>
    <xf numFmtId="178" fontId="0" fillId="0" borderId="4" xfId="0" applyNumberFormat="1" applyFont="1" applyBorder="1" applyAlignment="1">
      <alignment horizontal="right" vertical="center"/>
    </xf>
    <xf numFmtId="178" fontId="0" fillId="0" borderId="4" xfId="0" applyNumberFormat="1" applyFont="1" applyFill="1" applyBorder="1" applyAlignment="1">
      <alignment horizontal="right" vertical="center"/>
    </xf>
    <xf numFmtId="41" fontId="0" fillId="0" borderId="4" xfId="0" applyNumberFormat="1" applyFont="1" applyBorder="1" applyAlignment="1">
      <alignment horizontal="right" vertical="center"/>
    </xf>
    <xf numFmtId="0" fontId="0" fillId="0" borderId="3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178" fontId="0" fillId="0" borderId="6" xfId="0" applyNumberFormat="1" applyFont="1" applyBorder="1" applyAlignment="1">
      <alignment horizontal="right" vertical="center"/>
    </xf>
    <xf numFmtId="178" fontId="0" fillId="0" borderId="6" xfId="0" applyNumberFormat="1" applyFont="1" applyFill="1" applyBorder="1" applyAlignment="1">
      <alignment horizontal="right" vertical="center"/>
    </xf>
    <xf numFmtId="41" fontId="0" fillId="0" borderId="6" xfId="0" applyNumberFormat="1" applyFont="1" applyBorder="1" applyAlignment="1">
      <alignment horizontal="right" vertical="center"/>
    </xf>
    <xf numFmtId="178" fontId="0" fillId="3" borderId="6" xfId="0" applyNumberFormat="1" applyFont="1" applyFill="1" applyBorder="1" applyAlignment="1">
      <alignment vertical="center" shrinkToFit="1"/>
    </xf>
    <xf numFmtId="0" fontId="1" fillId="3" borderId="4" xfId="0" applyNumberFormat="1" applyFont="1" applyFill="1" applyBorder="1" applyAlignment="1">
      <alignment horizontal="justify" vertical="center" shrinkToFit="1"/>
    </xf>
    <xf numFmtId="41" fontId="0" fillId="0" borderId="4" xfId="1" applyNumberFormat="1" applyFont="1" applyFill="1" applyBorder="1" applyAlignment="1">
      <alignment horizontal="right" vertical="center"/>
    </xf>
    <xf numFmtId="0" fontId="0" fillId="3" borderId="4" xfId="0" applyFill="1" applyBorder="1">
      <alignment vertical="center"/>
    </xf>
    <xf numFmtId="178" fontId="1" fillId="3" borderId="4" xfId="0" applyNumberFormat="1" applyFont="1" applyFill="1" applyBorder="1" applyAlignment="1">
      <alignment horizontal="left" vertical="center" shrinkToFit="1"/>
    </xf>
    <xf numFmtId="41" fontId="1" fillId="3" borderId="4" xfId="1" applyNumberFormat="1" applyFont="1" applyFill="1" applyBorder="1" applyAlignment="1">
      <alignment horizontal="center" vertical="center" shrinkToFit="1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 applyAlignment="1">
      <alignment horizontal="center" vertical="center" shrinkToFit="1"/>
    </xf>
    <xf numFmtId="3" fontId="0" fillId="0" borderId="18" xfId="0" applyNumberFormat="1" applyFont="1" applyFill="1" applyBorder="1" applyAlignment="1">
      <alignment vertical="center"/>
    </xf>
    <xf numFmtId="41" fontId="0" fillId="0" borderId="18" xfId="0" applyNumberFormat="1" applyFont="1" applyFill="1" applyBorder="1" applyAlignment="1">
      <alignment horizontal="right" vertical="center" wrapText="1"/>
    </xf>
    <xf numFmtId="176" fontId="0" fillId="0" borderId="6" xfId="0" applyNumberFormat="1" applyFont="1" applyFill="1" applyBorder="1" applyAlignment="1">
      <alignment horizontal="right" vertical="center" wrapText="1"/>
    </xf>
    <xf numFmtId="0" fontId="0" fillId="3" borderId="21" xfId="0" applyNumberFormat="1" applyFont="1" applyFill="1" applyBorder="1" applyAlignment="1">
      <alignment horizontal="center" vertical="center"/>
    </xf>
    <xf numFmtId="178" fontId="0" fillId="3" borderId="18" xfId="0" applyNumberFormat="1" applyFont="1" applyFill="1" applyBorder="1" applyAlignment="1">
      <alignment horizontal="center" vertical="center" shrinkToFit="1"/>
    </xf>
    <xf numFmtId="178" fontId="7" fillId="3" borderId="18" xfId="0" applyNumberFormat="1" applyFont="1" applyFill="1" applyBorder="1" applyAlignment="1">
      <alignment vertical="center" shrinkToFit="1"/>
    </xf>
    <xf numFmtId="41" fontId="0" fillId="3" borderId="18" xfId="1" applyNumberFormat="1" applyFont="1" applyFill="1" applyBorder="1" applyAlignment="1">
      <alignment horizontal="right" vertical="center" wrapText="1"/>
    </xf>
    <xf numFmtId="0" fontId="0" fillId="3" borderId="18" xfId="0" applyNumberFormat="1" applyFont="1" applyFill="1" applyBorder="1" applyAlignment="1">
      <alignment horizontal="center" vertical="center" wrapText="1"/>
    </xf>
    <xf numFmtId="0" fontId="0" fillId="3" borderId="18" xfId="0" applyNumberFormat="1" applyFont="1" applyFill="1" applyBorder="1" applyAlignment="1">
      <alignment horizontal="right" vertical="center" wrapText="1"/>
    </xf>
    <xf numFmtId="0" fontId="0" fillId="3" borderId="18" xfId="0" applyNumberFormat="1" applyFont="1" applyFill="1" applyBorder="1" applyAlignment="1">
      <alignment horizontal="justify" vertical="center" wrapText="1"/>
    </xf>
    <xf numFmtId="0" fontId="0" fillId="3" borderId="18" xfId="0" applyNumberFormat="1" applyFont="1" applyFill="1" applyBorder="1" applyAlignment="1">
      <alignment horizontal="justify" vertical="center" shrinkToFit="1"/>
    </xf>
    <xf numFmtId="178" fontId="0" fillId="3" borderId="18" xfId="0" applyNumberFormat="1" applyFont="1" applyFill="1" applyBorder="1" applyAlignment="1">
      <alignment horizontal="left" vertical="center"/>
    </xf>
    <xf numFmtId="0" fontId="0" fillId="3" borderId="38" xfId="0" applyNumberFormat="1" applyFont="1" applyFill="1" applyBorder="1">
      <alignment vertical="center"/>
    </xf>
    <xf numFmtId="0" fontId="0" fillId="3" borderId="51" xfId="0" applyNumberFormat="1" applyFont="1" applyFill="1" applyBorder="1">
      <alignment vertical="center"/>
    </xf>
    <xf numFmtId="0" fontId="6" fillId="3" borderId="0" xfId="0" applyFont="1" applyFill="1">
      <alignment vertical="center"/>
    </xf>
    <xf numFmtId="0" fontId="0" fillId="0" borderId="0" xfId="0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shrinkToFit="1"/>
    </xf>
    <xf numFmtId="3" fontId="0" fillId="0" borderId="4" xfId="0" applyNumberFormat="1" applyBorder="1" applyAlignment="1">
      <alignment horizontal="right" vertical="center"/>
    </xf>
    <xf numFmtId="41" fontId="0" fillId="3" borderId="4" xfId="0" applyNumberFormat="1" applyFill="1" applyBorder="1" applyAlignment="1">
      <alignment horizontal="right" vertical="center" wrapText="1"/>
    </xf>
    <xf numFmtId="178" fontId="0" fillId="5" borderId="4" xfId="0" applyNumberFormat="1" applyFill="1" applyBorder="1" applyAlignment="1">
      <alignment horizontal="left" vertical="center" shrinkToFit="1"/>
    </xf>
    <xf numFmtId="3" fontId="0" fillId="5" borderId="4" xfId="0" applyNumberFormat="1" applyFill="1" applyBorder="1">
      <alignment vertical="center"/>
    </xf>
    <xf numFmtId="0" fontId="0" fillId="5" borderId="4" xfId="0" applyFill="1" applyBorder="1">
      <alignment vertical="center"/>
    </xf>
    <xf numFmtId="177" fontId="0" fillId="5" borderId="7" xfId="0" applyNumberFormat="1" applyFill="1" applyBorder="1">
      <alignment vertical="center"/>
    </xf>
    <xf numFmtId="3" fontId="0" fillId="5" borderId="18" xfId="0" applyNumberFormat="1" applyFill="1" applyBorder="1">
      <alignment vertical="center"/>
    </xf>
    <xf numFmtId="0" fontId="6" fillId="3" borderId="21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 shrinkToFit="1"/>
    </xf>
    <xf numFmtId="3" fontId="0" fillId="0" borderId="18" xfId="0" applyNumberFormat="1" applyBorder="1" applyAlignment="1">
      <alignment horizontal="right" vertical="center"/>
    </xf>
    <xf numFmtId="41" fontId="0" fillId="3" borderId="18" xfId="0" applyNumberFormat="1" applyFill="1" applyBorder="1" applyAlignment="1">
      <alignment horizontal="right" vertical="center" wrapText="1"/>
    </xf>
    <xf numFmtId="0" fontId="0" fillId="3" borderId="3" xfId="0" applyFill="1" applyBorder="1" applyAlignment="1">
      <alignment horizontal="center" vertical="center"/>
    </xf>
    <xf numFmtId="3" fontId="0" fillId="0" borderId="4" xfId="0" applyNumberFormat="1" applyBorder="1">
      <alignment vertical="center"/>
    </xf>
    <xf numFmtId="0" fontId="0" fillId="3" borderId="21" xfId="0" applyFill="1" applyBorder="1" applyAlignment="1">
      <alignment horizontal="center" vertical="center"/>
    </xf>
    <xf numFmtId="178" fontId="1" fillId="3" borderId="18" xfId="0" applyNumberFormat="1" applyFont="1" applyFill="1" applyBorder="1" applyAlignment="1">
      <alignment horizontal="center" vertical="center" shrinkToFit="1"/>
    </xf>
    <xf numFmtId="3" fontId="0" fillId="0" borderId="18" xfId="0" applyNumberFormat="1" applyBorder="1">
      <alignment vertical="center"/>
    </xf>
    <xf numFmtId="41" fontId="0" fillId="3" borderId="18" xfId="1" applyFont="1" applyFill="1" applyBorder="1" applyAlignment="1">
      <alignment horizontal="right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right" vertical="center" wrapText="1"/>
    </xf>
    <xf numFmtId="0" fontId="0" fillId="3" borderId="18" xfId="0" applyFill="1" applyBorder="1" applyAlignment="1">
      <alignment horizontal="justify" vertical="center" wrapText="1"/>
    </xf>
    <xf numFmtId="41" fontId="0" fillId="3" borderId="27" xfId="1" applyFont="1" applyFill="1" applyBorder="1">
      <alignment vertical="center"/>
    </xf>
    <xf numFmtId="178" fontId="0" fillId="3" borderId="4" xfId="0" applyNumberForma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justify" vertical="center" shrinkToFit="1"/>
    </xf>
    <xf numFmtId="41" fontId="0" fillId="3" borderId="7" xfId="1" applyFont="1" applyFill="1" applyBorder="1" applyAlignment="1">
      <alignment vertical="center" wrapText="1"/>
    </xf>
    <xf numFmtId="178" fontId="0" fillId="3" borderId="18" xfId="0" applyNumberFormat="1" applyFill="1" applyBorder="1" applyAlignment="1">
      <alignment horizontal="center" vertical="center" shrinkToFit="1"/>
    </xf>
    <xf numFmtId="0" fontId="1" fillId="3" borderId="18" xfId="0" applyFont="1" applyFill="1" applyBorder="1" applyAlignment="1">
      <alignment horizontal="justify" vertical="center" shrinkToFit="1"/>
    </xf>
    <xf numFmtId="41" fontId="0" fillId="3" borderId="27" xfId="1" applyFont="1" applyFill="1" applyBorder="1" applyAlignment="1">
      <alignment vertical="center" wrapText="1"/>
    </xf>
    <xf numFmtId="3" fontId="0" fillId="3" borderId="18" xfId="0" applyNumberFormat="1" applyFont="1" applyFill="1" applyBorder="1">
      <alignment vertical="center"/>
    </xf>
    <xf numFmtId="176" fontId="1" fillId="0" borderId="4" xfId="0" applyNumberFormat="1" applyFont="1" applyBorder="1" applyAlignment="1">
      <alignment horizontal="right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 wrapText="1"/>
    </xf>
    <xf numFmtId="0" fontId="0" fillId="3" borderId="4" xfId="0" applyNumberFormat="1" applyFont="1" applyFill="1" applyBorder="1" applyAlignment="1">
      <alignment vertical="center"/>
    </xf>
    <xf numFmtId="3" fontId="0" fillId="3" borderId="4" xfId="0" applyNumberFormat="1" applyFont="1" applyFill="1" applyBorder="1" applyAlignment="1">
      <alignment horizontal="right" vertical="center"/>
    </xf>
    <xf numFmtId="41" fontId="0" fillId="3" borderId="4" xfId="1" applyNumberFormat="1" applyFont="1" applyFill="1" applyBorder="1" applyAlignment="1">
      <alignment horizontal="right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0" fontId="0" fillId="0" borderId="20" xfId="0" applyNumberFormat="1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41" fontId="0" fillId="0" borderId="20" xfId="0" applyNumberFormat="1" applyFont="1" applyBorder="1" applyAlignment="1">
      <alignment horizontal="right" vertical="center"/>
    </xf>
    <xf numFmtId="178" fontId="0" fillId="3" borderId="20" xfId="0" applyNumberFormat="1" applyFont="1" applyFill="1" applyBorder="1" applyAlignment="1">
      <alignment vertical="center" shrinkToFit="1"/>
    </xf>
    <xf numFmtId="0" fontId="0" fillId="3" borderId="20" xfId="0" applyNumberFormat="1" applyFont="1" applyFill="1" applyBorder="1">
      <alignment vertical="center"/>
    </xf>
    <xf numFmtId="0" fontId="0" fillId="3" borderId="52" xfId="0" applyNumberFormat="1" applyFont="1" applyFill="1" applyBorder="1">
      <alignment vertical="center"/>
    </xf>
    <xf numFmtId="178" fontId="7" fillId="3" borderId="7" xfId="4" applyNumberFormat="1" applyFont="1" applyFill="1" applyBorder="1" applyAlignment="1">
      <alignment vertical="center" shrinkToFit="1"/>
    </xf>
    <xf numFmtId="178" fontId="7" fillId="3" borderId="7" xfId="4" applyNumberFormat="1" applyFont="1" applyFill="1" applyBorder="1" applyAlignment="1">
      <alignment horizontal="right" vertical="center"/>
    </xf>
    <xf numFmtId="41" fontId="7" fillId="3" borderId="7" xfId="1" applyNumberFormat="1" applyFont="1" applyFill="1" applyBorder="1">
      <alignment vertical="center"/>
    </xf>
    <xf numFmtId="0" fontId="0" fillId="3" borderId="7" xfId="0" applyNumberFormat="1" applyFont="1" applyFill="1" applyBorder="1">
      <alignment vertical="center"/>
    </xf>
    <xf numFmtId="0" fontId="0" fillId="3" borderId="8" xfId="0" applyNumberFormat="1" applyFont="1" applyFill="1" applyBorder="1">
      <alignment vertical="center"/>
    </xf>
    <xf numFmtId="41" fontId="0" fillId="3" borderId="7" xfId="1" applyNumberFormat="1" applyFont="1" applyFill="1" applyBorder="1" applyAlignment="1">
      <alignment vertical="center"/>
    </xf>
    <xf numFmtId="41" fontId="0" fillId="3" borderId="7" xfId="1" applyNumberFormat="1" applyFont="1" applyFill="1" applyBorder="1" applyAlignment="1">
      <alignment vertical="center" wrapText="1"/>
    </xf>
    <xf numFmtId="3" fontId="0" fillId="3" borderId="7" xfId="0" applyNumberFormat="1" applyFont="1" applyFill="1" applyBorder="1">
      <alignment vertical="center"/>
    </xf>
    <xf numFmtId="178" fontId="7" fillId="3" borderId="27" xfId="0" applyNumberFormat="1" applyFont="1" applyFill="1" applyBorder="1" applyAlignment="1">
      <alignment horizontal="right" vertical="center"/>
    </xf>
    <xf numFmtId="3" fontId="7" fillId="3" borderId="7" xfId="0" applyNumberFormat="1" applyFont="1" applyFill="1" applyBorder="1">
      <alignment vertical="center"/>
    </xf>
    <xf numFmtId="41" fontId="7" fillId="3" borderId="7" xfId="0" applyNumberFormat="1" applyFont="1" applyFill="1" applyBorder="1" applyAlignment="1">
      <alignment vertical="center" shrinkToFit="1"/>
    </xf>
    <xf numFmtId="41" fontId="0" fillId="0" borderId="7" xfId="1" applyNumberFormat="1" applyFont="1" applyFill="1" applyBorder="1" applyAlignment="1">
      <alignment vertical="center" wrapText="1"/>
    </xf>
    <xf numFmtId="41" fontId="0" fillId="3" borderId="27" xfId="1" applyNumberFormat="1" applyFont="1" applyFill="1" applyBorder="1" applyAlignment="1">
      <alignment vertical="center"/>
    </xf>
    <xf numFmtId="41" fontId="0" fillId="3" borderId="27" xfId="1" applyNumberFormat="1" applyFont="1" applyFill="1" applyBorder="1" applyAlignment="1">
      <alignment vertical="center" wrapText="1"/>
    </xf>
    <xf numFmtId="177" fontId="0" fillId="3" borderId="7" xfId="0" applyNumberFormat="1" applyFont="1" applyFill="1" applyBorder="1" applyAlignment="1">
      <alignment vertical="center"/>
    </xf>
    <xf numFmtId="177" fontId="0" fillId="5" borderId="7" xfId="0" applyNumberFormat="1" applyFont="1" applyFill="1" applyBorder="1" applyAlignment="1">
      <alignment vertical="center"/>
    </xf>
    <xf numFmtId="178" fontId="7" fillId="3" borderId="7" xfId="0" applyNumberFormat="1" applyFont="1" applyFill="1" applyBorder="1" applyAlignment="1" applyProtection="1">
      <alignment vertical="center" shrinkToFit="1"/>
    </xf>
    <xf numFmtId="178" fontId="7" fillId="3" borderId="7" xfId="0" applyNumberFormat="1" applyFont="1" applyFill="1" applyBorder="1" applyAlignment="1">
      <alignment vertical="center"/>
    </xf>
    <xf numFmtId="178" fontId="7" fillId="0" borderId="53" xfId="0" applyNumberFormat="1" applyFont="1" applyFill="1" applyBorder="1" applyAlignment="1" applyProtection="1">
      <alignment horizontal="right" vertical="center"/>
    </xf>
    <xf numFmtId="177" fontId="0" fillId="3" borderId="8" xfId="0" applyNumberFormat="1" applyFont="1" applyFill="1" applyBorder="1" applyAlignment="1">
      <alignment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right" vertical="center"/>
    </xf>
    <xf numFmtId="178" fontId="1" fillId="5" borderId="4" xfId="0" applyNumberFormat="1" applyFont="1" applyFill="1" applyBorder="1" applyAlignment="1">
      <alignment vertical="center" shrinkToFit="1"/>
    </xf>
    <xf numFmtId="178" fontId="0" fillId="5" borderId="4" xfId="1" applyNumberFormat="1" applyFont="1" applyFill="1" applyBorder="1">
      <alignment vertical="center"/>
    </xf>
    <xf numFmtId="178" fontId="0" fillId="5" borderId="4" xfId="0" applyNumberFormat="1" applyFont="1" applyFill="1" applyBorder="1" applyAlignment="1">
      <alignment horizontal="left" vertical="center" shrinkToFit="1"/>
    </xf>
    <xf numFmtId="178" fontId="1" fillId="5" borderId="4" xfId="0" applyNumberFormat="1" applyFont="1" applyFill="1" applyBorder="1" applyAlignment="1">
      <alignment horizontal="left" vertical="center" shrinkToFit="1"/>
    </xf>
    <xf numFmtId="178" fontId="0" fillId="5" borderId="4" xfId="0" applyNumberFormat="1" applyFill="1" applyBorder="1" applyAlignment="1">
      <alignment vertical="center" shrinkToFit="1"/>
    </xf>
    <xf numFmtId="178" fontId="0" fillId="5" borderId="4" xfId="0" applyNumberFormat="1" applyFill="1" applyBorder="1">
      <alignment vertical="center"/>
    </xf>
    <xf numFmtId="3" fontId="0" fillId="5" borderId="7" xfId="0" applyNumberFormat="1" applyFont="1" applyFill="1" applyBorder="1">
      <alignment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176" fontId="12" fillId="3" borderId="4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41" fontId="14" fillId="0" borderId="0" xfId="1">
      <alignment vertical="center"/>
    </xf>
    <xf numFmtId="176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28" fillId="3" borderId="4" xfId="0" applyNumberFormat="1" applyFont="1" applyFill="1" applyBorder="1" applyAlignment="1">
      <alignment horizontal="center" vertical="center"/>
    </xf>
    <xf numFmtId="176" fontId="8" fillId="3" borderId="4" xfId="0" applyNumberFormat="1" applyFont="1" applyFill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29" fillId="0" borderId="4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3" borderId="4" xfId="0" applyFont="1" applyFill="1" applyBorder="1" applyAlignment="1">
      <alignment horizontal="center" vertical="center"/>
    </xf>
    <xf numFmtId="176" fontId="8" fillId="3" borderId="4" xfId="0" applyNumberFormat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7" fillId="3" borderId="4" xfId="0" applyNumberFormat="1" applyFont="1" applyFill="1" applyBorder="1" applyAlignment="1">
      <alignment horizontal="center" vertical="center"/>
    </xf>
    <xf numFmtId="176" fontId="1" fillId="0" borderId="0" xfId="0" applyNumberFormat="1" applyFont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30" fillId="0" borderId="0" xfId="0" applyFont="1">
      <alignment vertical="center"/>
    </xf>
    <xf numFmtId="176" fontId="30" fillId="0" borderId="0" xfId="0" applyNumberFormat="1" applyFont="1">
      <alignment vertical="center"/>
    </xf>
    <xf numFmtId="176" fontId="31" fillId="3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31" fillId="0" borderId="4" xfId="0" applyNumberFormat="1" applyFont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3" borderId="0" xfId="0" applyNumberFormat="1" applyFont="1" applyFill="1">
      <alignment vertical="center"/>
    </xf>
    <xf numFmtId="0" fontId="3" fillId="3" borderId="0" xfId="0" applyFont="1" applyFill="1">
      <alignment vertical="center"/>
    </xf>
    <xf numFmtId="176" fontId="6" fillId="3" borderId="0" xfId="0" applyNumberFormat="1" applyFont="1" applyFill="1">
      <alignment vertical="center"/>
    </xf>
    <xf numFmtId="176" fontId="12" fillId="0" borderId="0" xfId="0" applyNumberFormat="1" applyFont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>
      <alignment vertical="center"/>
    </xf>
    <xf numFmtId="176" fontId="7" fillId="3" borderId="0" xfId="0" applyNumberFormat="1" applyFont="1" applyFill="1">
      <alignment vertical="center"/>
    </xf>
    <xf numFmtId="0" fontId="7" fillId="3" borderId="4" xfId="0" applyFont="1" applyFill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 shrinkToFit="1"/>
    </xf>
    <xf numFmtId="0" fontId="7" fillId="3" borderId="0" xfId="0" applyFont="1" applyFill="1">
      <alignment vertical="center"/>
    </xf>
    <xf numFmtId="176" fontId="1" fillId="3" borderId="4" xfId="0" applyNumberFormat="1" applyFont="1" applyFill="1" applyBorder="1" applyAlignment="1">
      <alignment horizontal="center" vertical="center" shrinkToFit="1"/>
    </xf>
    <xf numFmtId="176" fontId="32" fillId="6" borderId="4" xfId="0" applyNumberFormat="1" applyFont="1" applyFill="1" applyBorder="1" applyAlignment="1">
      <alignment horizontal="center" vertical="center"/>
    </xf>
    <xf numFmtId="176" fontId="12" fillId="0" borderId="4" xfId="0" applyNumberFormat="1" applyFont="1" applyBorder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33" fillId="0" borderId="4" xfId="0" applyNumberFormat="1" applyFont="1" applyBorder="1" applyAlignment="1">
      <alignment horizontal="center" vertical="center"/>
    </xf>
    <xf numFmtId="0" fontId="1" fillId="3" borderId="39" xfId="0" applyFont="1" applyFill="1" applyBorder="1">
      <alignment vertical="center"/>
    </xf>
    <xf numFmtId="0" fontId="0" fillId="3" borderId="39" xfId="0" applyFill="1" applyBorder="1">
      <alignment vertical="center"/>
    </xf>
    <xf numFmtId="0" fontId="1" fillId="0" borderId="0" xfId="0" applyFont="1">
      <alignment vertical="center"/>
    </xf>
    <xf numFmtId="41" fontId="1" fillId="0" borderId="0" xfId="1" applyFont="1">
      <alignment vertical="center"/>
    </xf>
    <xf numFmtId="41" fontId="1" fillId="0" borderId="0" xfId="0" applyNumberFormat="1" applyFont="1">
      <alignment vertical="center"/>
    </xf>
    <xf numFmtId="41" fontId="7" fillId="0" borderId="0" xfId="1" applyFont="1">
      <alignment vertical="center"/>
    </xf>
    <xf numFmtId="177" fontId="0" fillId="0" borderId="0" xfId="0" applyNumberFormat="1" applyAlignment="1">
      <alignment horizontal="center" vertical="center"/>
    </xf>
    <xf numFmtId="176" fontId="36" fillId="3" borderId="4" xfId="0" applyNumberFormat="1" applyFont="1" applyFill="1" applyBorder="1" applyAlignment="1">
      <alignment horizontal="center" vertical="center"/>
    </xf>
    <xf numFmtId="176" fontId="36" fillId="3" borderId="54" xfId="0" applyNumberFormat="1" applyFont="1" applyFill="1" applyBorder="1" applyAlignment="1">
      <alignment horizontal="center" vertical="center"/>
    </xf>
    <xf numFmtId="176" fontId="36" fillId="0" borderId="4" xfId="0" applyNumberFormat="1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176" fontId="36" fillId="6" borderId="4" xfId="0" applyNumberFormat="1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center" vertical="center"/>
    </xf>
    <xf numFmtId="177" fontId="39" fillId="3" borderId="4" xfId="0" applyNumberFormat="1" applyFont="1" applyFill="1" applyBorder="1" applyAlignment="1">
      <alignment horizontal="center" vertical="center"/>
    </xf>
    <xf numFmtId="0" fontId="39" fillId="3" borderId="0" xfId="0" applyFont="1" applyFill="1">
      <alignment vertical="center"/>
    </xf>
    <xf numFmtId="0" fontId="39" fillId="0" borderId="4" xfId="0" applyFont="1" applyBorder="1" applyAlignment="1">
      <alignment horizontal="center" vertical="center"/>
    </xf>
    <xf numFmtId="177" fontId="37" fillId="0" borderId="4" xfId="0" applyNumberFormat="1" applyFont="1" applyBorder="1" applyAlignment="1">
      <alignment horizontal="center" vertical="center"/>
    </xf>
    <xf numFmtId="176" fontId="37" fillId="3" borderId="54" xfId="0" applyNumberFormat="1" applyFont="1" applyFill="1" applyBorder="1" applyAlignment="1">
      <alignment horizontal="center" vertical="center"/>
    </xf>
    <xf numFmtId="176" fontId="36" fillId="0" borderId="4" xfId="0" applyNumberFormat="1" applyFont="1" applyBorder="1" applyAlignment="1">
      <alignment horizontal="center" vertical="center" shrinkToFit="1"/>
    </xf>
    <xf numFmtId="176" fontId="36" fillId="6" borderId="4" xfId="0" applyNumberFormat="1" applyFont="1" applyFill="1" applyBorder="1" applyAlignment="1">
      <alignment horizontal="center" vertical="center" shrinkToFit="1"/>
    </xf>
    <xf numFmtId="0" fontId="1" fillId="0" borderId="4" xfId="0" applyNumberFormat="1" applyFont="1" applyFill="1" applyBorder="1" applyAlignment="1">
      <alignment horizontal="center" vertical="center" wrapText="1" shrinkToFit="1"/>
    </xf>
    <xf numFmtId="3" fontId="0" fillId="5" borderId="4" xfId="0" applyNumberFormat="1" applyFont="1" applyFill="1" applyBorder="1" applyAlignment="1">
      <alignment horizontal="right" vertical="center"/>
    </xf>
    <xf numFmtId="176" fontId="12" fillId="0" borderId="4" xfId="0" applyNumberFormat="1" applyFont="1" applyBorder="1" applyAlignment="1">
      <alignment horizontal="center" vertical="center" shrinkToFit="1"/>
    </xf>
    <xf numFmtId="41" fontId="1" fillId="0" borderId="0" xfId="1" applyFont="1" applyFill="1" applyBorder="1">
      <alignment vertical="center"/>
    </xf>
    <xf numFmtId="186" fontId="0" fillId="3" borderId="4" xfId="1" applyNumberFormat="1" applyFont="1" applyFill="1" applyBorder="1" applyAlignment="1">
      <alignment horizontal="right" vertical="center" shrinkToFit="1"/>
    </xf>
    <xf numFmtId="186" fontId="0" fillId="3" borderId="18" xfId="1" applyNumberFormat="1" applyFont="1" applyFill="1" applyBorder="1" applyAlignment="1">
      <alignment horizontal="right" vertical="center" shrinkToFit="1"/>
    </xf>
    <xf numFmtId="186" fontId="0" fillId="3" borderId="20" xfId="1" applyNumberFormat="1" applyFont="1" applyFill="1" applyBorder="1" applyAlignment="1">
      <alignment horizontal="right" vertical="center" shrinkToFit="1"/>
    </xf>
    <xf numFmtId="0" fontId="0" fillId="3" borderId="4" xfId="0" applyNumberFormat="1" applyFont="1" applyFill="1" applyBorder="1" applyAlignment="1">
      <alignment horizontal="center" vertical="center"/>
    </xf>
    <xf numFmtId="177" fontId="1" fillId="3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vertical="center"/>
    </xf>
    <xf numFmtId="0" fontId="5" fillId="0" borderId="56" xfId="3" applyNumberFormat="1" applyFont="1" applyBorder="1" applyAlignment="1">
      <alignment horizontal="center" vertical="center"/>
    </xf>
    <xf numFmtId="182" fontId="5" fillId="0" borderId="58" xfId="3" applyNumberFormat="1" applyFont="1" applyBorder="1" applyAlignment="1">
      <alignment horizontal="right" vertical="center"/>
    </xf>
    <xf numFmtId="176" fontId="5" fillId="0" borderId="57" xfId="3" applyNumberFormat="1" applyFont="1" applyBorder="1" applyAlignment="1">
      <alignment horizontal="center" vertical="center"/>
    </xf>
    <xf numFmtId="41" fontId="5" fillId="0" borderId="35" xfId="1" applyNumberFormat="1" applyFont="1" applyBorder="1">
      <alignment vertical="center"/>
    </xf>
    <xf numFmtId="41" fontId="5" fillId="0" borderId="57" xfId="1" applyNumberFormat="1" applyFont="1" applyBorder="1" applyAlignment="1">
      <alignment horizontal="right" vertical="center"/>
    </xf>
    <xf numFmtId="182" fontId="5" fillId="0" borderId="35" xfId="3" applyNumberFormat="1" applyFont="1" applyBorder="1" applyAlignment="1">
      <alignment horizontal="right" vertical="center"/>
    </xf>
    <xf numFmtId="177" fontId="38" fillId="0" borderId="4" xfId="0" applyNumberFormat="1" applyFont="1" applyBorder="1" applyAlignment="1">
      <alignment horizontal="center" vertical="center"/>
    </xf>
    <xf numFmtId="178" fontId="1" fillId="3" borderId="6" xfId="0" applyNumberFormat="1" applyFont="1" applyFill="1" applyBorder="1" applyAlignment="1">
      <alignment horizontal="left" vertical="center" shrinkToFit="1"/>
    </xf>
    <xf numFmtId="178" fontId="1" fillId="3" borderId="4" xfId="4" applyNumberFormat="1" applyFont="1" applyFill="1" applyBorder="1" applyAlignment="1">
      <alignment horizontal="left" vertical="center" shrinkToFit="1"/>
    </xf>
    <xf numFmtId="41" fontId="7" fillId="3" borderId="7" xfId="4" applyNumberFormat="1" applyFont="1" applyFill="1" applyBorder="1" applyAlignment="1">
      <alignment horizontal="right" vertical="center"/>
    </xf>
    <xf numFmtId="0" fontId="12" fillId="0" borderId="0" xfId="0" applyNumberFormat="1" applyFont="1">
      <alignment vertical="center"/>
    </xf>
    <xf numFmtId="0" fontId="16" fillId="5" borderId="4" xfId="0" applyNumberFormat="1" applyFont="1" applyFill="1" applyBorder="1" applyAlignment="1">
      <alignment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0" xfId="0" applyNumberFormat="1" applyFont="1">
      <alignment vertical="center"/>
    </xf>
    <xf numFmtId="3" fontId="0" fillId="0" borderId="6" xfId="0" applyNumberFormat="1" applyFont="1" applyFill="1" applyBorder="1" applyAlignment="1">
      <alignment horizontal="right" vertical="center"/>
    </xf>
    <xf numFmtId="178" fontId="16" fillId="5" borderId="4" xfId="0" applyNumberFormat="1" applyFont="1" applyFill="1" applyBorder="1" applyAlignment="1">
      <alignment vertical="center" shrinkToFit="1"/>
    </xf>
    <xf numFmtId="3" fontId="16" fillId="5" borderId="4" xfId="0" applyNumberFormat="1" applyFont="1" applyFill="1" applyBorder="1">
      <alignment vertical="center"/>
    </xf>
    <xf numFmtId="0" fontId="16" fillId="5" borderId="4" xfId="0" applyNumberFormat="1" applyFont="1" applyFill="1" applyBorder="1">
      <alignment vertical="center"/>
    </xf>
    <xf numFmtId="185" fontId="16" fillId="5" borderId="4" xfId="0" applyNumberFormat="1" applyFont="1" applyFill="1" applyBorder="1">
      <alignment vertical="center"/>
    </xf>
    <xf numFmtId="177" fontId="16" fillId="5" borderId="7" xfId="0" applyNumberFormat="1" applyFont="1" applyFill="1" applyBorder="1" applyAlignment="1">
      <alignment vertical="center"/>
    </xf>
    <xf numFmtId="177" fontId="16" fillId="5" borderId="4" xfId="0" applyNumberFormat="1" applyFont="1" applyFill="1" applyBorder="1" applyAlignment="1">
      <alignment vertical="center"/>
    </xf>
    <xf numFmtId="183" fontId="16" fillId="5" borderId="4" xfId="0" applyNumberFormat="1" applyFont="1" applyFill="1" applyBorder="1" applyAlignment="1">
      <alignment vertical="center" shrinkToFit="1"/>
    </xf>
    <xf numFmtId="183" fontId="16" fillId="5" borderId="4" xfId="0" applyNumberFormat="1" applyFont="1" applyFill="1" applyBorder="1">
      <alignment vertical="center"/>
    </xf>
    <xf numFmtId="178" fontId="20" fillId="3" borderId="4" xfId="0" applyNumberFormat="1" applyFont="1" applyFill="1" applyBorder="1" applyAlignment="1">
      <alignment vertical="center" shrinkToFit="1"/>
    </xf>
    <xf numFmtId="41" fontId="16" fillId="3" borderId="7" xfId="1" applyNumberFormat="1" applyFont="1" applyFill="1" applyBorder="1" applyAlignment="1">
      <alignment vertical="center" wrapText="1"/>
    </xf>
    <xf numFmtId="177" fontId="16" fillId="5" borderId="4" xfId="0" applyNumberFormat="1" applyFont="1" applyFill="1" applyBorder="1" applyAlignment="1">
      <alignment vertical="center" shrinkToFit="1"/>
    </xf>
    <xf numFmtId="3" fontId="16" fillId="5" borderId="4" xfId="0" applyNumberFormat="1" applyFont="1" applyFill="1" applyBorder="1" applyAlignment="1">
      <alignment vertical="center"/>
    </xf>
    <xf numFmtId="41" fontId="16" fillId="5" borderId="7" xfId="1" applyNumberFormat="1" applyFont="1" applyFill="1" applyBorder="1" applyAlignment="1">
      <alignment vertical="center" wrapText="1"/>
    </xf>
    <xf numFmtId="0" fontId="16" fillId="5" borderId="4" xfId="0" applyNumberFormat="1" applyFont="1" applyFill="1" applyBorder="1" applyAlignment="1">
      <alignment horizontal="justify" vertical="center" shrinkToFit="1"/>
    </xf>
    <xf numFmtId="41" fontId="16" fillId="5" borderId="4" xfId="1" applyNumberFormat="1" applyFont="1" applyFill="1" applyBorder="1" applyAlignment="1">
      <alignment horizontal="right" vertical="center" wrapText="1"/>
    </xf>
    <xf numFmtId="0" fontId="16" fillId="5" borderId="4" xfId="0" applyNumberFormat="1" applyFont="1" applyFill="1" applyBorder="1" applyAlignment="1">
      <alignment horizontal="center" vertical="center" wrapText="1"/>
    </xf>
    <xf numFmtId="0" fontId="16" fillId="5" borderId="4" xfId="0" applyNumberFormat="1" applyFont="1" applyFill="1" applyBorder="1" applyAlignment="1">
      <alignment horizontal="right" vertical="center" wrapText="1"/>
    </xf>
    <xf numFmtId="0" fontId="16" fillId="5" borderId="4" xfId="0" applyNumberFormat="1" applyFont="1" applyFill="1" applyBorder="1" applyAlignment="1">
      <alignment horizontal="justify" vertical="center" wrapText="1"/>
    </xf>
    <xf numFmtId="176" fontId="1" fillId="0" borderId="0" xfId="0" applyNumberFormat="1" applyFont="1" applyAlignment="1">
      <alignment vertical="center" wrapText="1" shrinkToFit="1"/>
    </xf>
    <xf numFmtId="0" fontId="1" fillId="5" borderId="4" xfId="0" applyNumberFormat="1" applyFont="1" applyFill="1" applyBorder="1">
      <alignment vertical="center"/>
    </xf>
    <xf numFmtId="0" fontId="1" fillId="3" borderId="0" xfId="0" applyFont="1" applyFill="1">
      <alignment vertical="center"/>
    </xf>
    <xf numFmtId="41" fontId="33" fillId="0" borderId="4" xfId="0" applyNumberFormat="1" applyFont="1" applyBorder="1" applyAlignment="1">
      <alignment horizontal="center" vertical="center"/>
    </xf>
    <xf numFmtId="176" fontId="0" fillId="0" borderId="4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" fontId="7" fillId="3" borderId="4" xfId="0" applyNumberFormat="1" applyFont="1" applyFill="1" applyBorder="1">
      <alignment vertical="center"/>
    </xf>
    <xf numFmtId="3" fontId="7" fillId="0" borderId="4" xfId="0" applyNumberFormat="1" applyFont="1" applyBorder="1">
      <alignment vertical="center"/>
    </xf>
    <xf numFmtId="3" fontId="1" fillId="0" borderId="4" xfId="0" applyNumberFormat="1" applyFont="1" applyBorder="1">
      <alignment vertical="center"/>
    </xf>
    <xf numFmtId="0" fontId="0" fillId="0" borderId="4" xfId="0" applyBorder="1">
      <alignment vertical="center"/>
    </xf>
    <xf numFmtId="177" fontId="7" fillId="3" borderId="0" xfId="0" applyNumberFormat="1" applyFont="1" applyFill="1">
      <alignment vertical="center"/>
    </xf>
    <xf numFmtId="176" fontId="1" fillId="3" borderId="54" xfId="0" applyNumberFormat="1" applyFont="1" applyFill="1" applyBorder="1" applyAlignment="1">
      <alignment horizontal="center" vertical="center"/>
    </xf>
    <xf numFmtId="177" fontId="7" fillId="0" borderId="59" xfId="0" applyNumberFormat="1" applyFont="1" applyBorder="1">
      <alignment vertical="center"/>
    </xf>
    <xf numFmtId="177" fontId="0" fillId="0" borderId="59" xfId="0" applyNumberFormat="1" applyBorder="1">
      <alignment vertical="center"/>
    </xf>
    <xf numFmtId="177" fontId="0" fillId="0" borderId="60" xfId="0" applyNumberFormat="1" applyBorder="1">
      <alignment vertical="center"/>
    </xf>
    <xf numFmtId="0" fontId="0" fillId="5" borderId="61" xfId="0" applyNumberFormat="1" applyFont="1" applyFill="1" applyBorder="1">
      <alignment vertical="center"/>
    </xf>
    <xf numFmtId="0" fontId="1" fillId="5" borderId="60" xfId="0" applyNumberFormat="1" applyFont="1" applyFill="1" applyBorder="1">
      <alignment vertical="center"/>
    </xf>
    <xf numFmtId="0" fontId="6" fillId="3" borderId="59" xfId="0" applyFont="1" applyFill="1" applyBorder="1">
      <alignment vertical="center"/>
    </xf>
    <xf numFmtId="0" fontId="1" fillId="5" borderId="39" xfId="0" applyFont="1" applyFill="1" applyBorder="1">
      <alignment vertical="center"/>
    </xf>
    <xf numFmtId="0" fontId="7" fillId="5" borderId="39" xfId="0" applyFont="1" applyFill="1" applyBorder="1">
      <alignment vertical="center"/>
    </xf>
    <xf numFmtId="176" fontId="1" fillId="0" borderId="38" xfId="0" applyNumberFormat="1" applyFont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176" fontId="1" fillId="0" borderId="20" xfId="0" applyNumberFormat="1" applyFont="1" applyBorder="1" applyAlignment="1">
      <alignment horizontal="center" vertical="center"/>
    </xf>
    <xf numFmtId="176" fontId="1" fillId="3" borderId="59" xfId="0" applyNumberFormat="1" applyFont="1" applyFill="1" applyBorder="1" applyAlignment="1">
      <alignment horizontal="center" vertical="center"/>
    </xf>
    <xf numFmtId="176" fontId="1" fillId="3" borderId="37" xfId="0" applyNumberFormat="1" applyFont="1" applyFill="1" applyBorder="1" applyAlignment="1">
      <alignment horizontal="center" vertical="center"/>
    </xf>
    <xf numFmtId="176" fontId="1" fillId="6" borderId="59" xfId="0" applyNumberFormat="1" applyFont="1" applyFill="1" applyBorder="1" applyAlignment="1">
      <alignment horizontal="center" vertical="center"/>
    </xf>
    <xf numFmtId="0" fontId="16" fillId="5" borderId="39" xfId="0" applyNumberFormat="1" applyFont="1" applyFill="1" applyBorder="1">
      <alignment vertical="center"/>
    </xf>
    <xf numFmtId="176" fontId="0" fillId="0" borderId="18" xfId="0" applyNumberForma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41" fontId="1" fillId="6" borderId="0" xfId="1" applyFont="1" applyFill="1">
      <alignment vertical="center"/>
    </xf>
    <xf numFmtId="176" fontId="1" fillId="6" borderId="0" xfId="0" applyNumberFormat="1" applyFont="1" applyFill="1">
      <alignment vertical="center"/>
    </xf>
    <xf numFmtId="41" fontId="8" fillId="3" borderId="4" xfId="0" applyNumberFormat="1" applyFont="1" applyFill="1" applyBorder="1" applyAlignment="1">
      <alignment horizontal="center" vertical="center"/>
    </xf>
    <xf numFmtId="176" fontId="37" fillId="3" borderId="38" xfId="0" applyNumberFormat="1" applyFont="1" applyFill="1" applyBorder="1" applyAlignment="1">
      <alignment horizontal="center" vertical="center"/>
    </xf>
    <xf numFmtId="176" fontId="36" fillId="3" borderId="18" xfId="0" applyNumberFormat="1" applyFont="1" applyFill="1" applyBorder="1" applyAlignment="1">
      <alignment horizontal="center" vertical="center"/>
    </xf>
    <xf numFmtId="176" fontId="37" fillId="3" borderId="25" xfId="0" applyNumberFormat="1" applyFont="1" applyFill="1" applyBorder="1" applyAlignment="1">
      <alignment horizontal="center" vertical="center"/>
    </xf>
    <xf numFmtId="176" fontId="0" fillId="0" borderId="59" xfId="0" applyNumberFormat="1" applyBorder="1">
      <alignment vertical="center"/>
    </xf>
    <xf numFmtId="3" fontId="7" fillId="0" borderId="4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6" xfId="0" applyNumberFormat="1" applyBorder="1">
      <alignment vertical="center"/>
    </xf>
    <xf numFmtId="3" fontId="1" fillId="0" borderId="18" xfId="0" applyNumberFormat="1" applyFont="1" applyBorder="1">
      <alignment vertical="center"/>
    </xf>
    <xf numFmtId="41" fontId="1" fillId="0" borderId="0" xfId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78" fontId="1" fillId="3" borderId="0" xfId="0" applyNumberFormat="1" applyFont="1" applyFill="1" applyAlignment="1">
      <alignment horizontal="center" vertical="center"/>
    </xf>
    <xf numFmtId="177" fontId="1" fillId="3" borderId="0" xfId="0" applyNumberFormat="1" applyFont="1" applyFill="1" applyAlignment="1">
      <alignment horizontal="center" vertical="center"/>
    </xf>
    <xf numFmtId="176" fontId="31" fillId="3" borderId="59" xfId="0" applyNumberFormat="1" applyFont="1" applyFill="1" applyBorder="1" applyAlignment="1">
      <alignment horizontal="center" vertical="center"/>
    </xf>
    <xf numFmtId="176" fontId="31" fillId="0" borderId="59" xfId="0" applyNumberFormat="1" applyFont="1" applyBorder="1">
      <alignment vertical="center"/>
    </xf>
    <xf numFmtId="49" fontId="1" fillId="0" borderId="4" xfId="0" applyNumberFormat="1" applyFont="1" applyFill="1" applyBorder="1" applyAlignment="1">
      <alignment horizontal="justify" vertical="center" wrapText="1"/>
    </xf>
    <xf numFmtId="176" fontId="1" fillId="0" borderId="4" xfId="0" applyNumberFormat="1" applyFont="1" applyFill="1" applyBorder="1" applyAlignment="1">
      <alignment horizontal="center" vertical="center"/>
    </xf>
    <xf numFmtId="176" fontId="42" fillId="0" borderId="4" xfId="0" applyNumberFormat="1" applyFont="1" applyFill="1" applyBorder="1" applyAlignment="1">
      <alignment horizontal="center" vertical="center" shrinkToFit="1"/>
    </xf>
    <xf numFmtId="0" fontId="42" fillId="0" borderId="4" xfId="0" applyFont="1" applyBorder="1" applyAlignment="1">
      <alignment horizontal="center" vertical="center"/>
    </xf>
    <xf numFmtId="0" fontId="42" fillId="0" borderId="4" xfId="0" applyFont="1" applyFill="1" applyBorder="1" applyAlignment="1">
      <alignment horizontal="center" vertical="center"/>
    </xf>
    <xf numFmtId="176" fontId="42" fillId="0" borderId="4" xfId="0" applyNumberFormat="1" applyFont="1" applyBorder="1" applyAlignment="1">
      <alignment horizontal="center" vertical="center"/>
    </xf>
    <xf numFmtId="176" fontId="36" fillId="3" borderId="37" xfId="0" applyNumberFormat="1" applyFont="1" applyFill="1" applyBorder="1" applyAlignment="1">
      <alignment horizontal="center" vertical="center"/>
    </xf>
    <xf numFmtId="176" fontId="37" fillId="3" borderId="37" xfId="0" applyNumberFormat="1" applyFont="1" applyFill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3" borderId="62" xfId="0" applyNumberFormat="1" applyFont="1" applyFill="1" applyBorder="1">
      <alignment vertical="center"/>
    </xf>
    <xf numFmtId="0" fontId="0" fillId="5" borderId="39" xfId="0" applyNumberFormat="1" applyFont="1" applyFill="1" applyBorder="1">
      <alignment vertical="center"/>
    </xf>
    <xf numFmtId="177" fontId="12" fillId="5" borderId="39" xfId="0" applyNumberFormat="1" applyFont="1" applyFill="1" applyBorder="1">
      <alignment vertical="center"/>
    </xf>
    <xf numFmtId="0" fontId="12" fillId="3" borderId="0" xfId="0" applyFont="1" applyFill="1">
      <alignment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0" fillId="5" borderId="4" xfId="0" applyNumberFormat="1" applyFont="1" applyFill="1" applyBorder="1" applyAlignment="1">
      <alignment vertical="center"/>
    </xf>
    <xf numFmtId="0" fontId="0" fillId="3" borderId="4" xfId="0" applyNumberFormat="1" applyFont="1" applyFill="1" applyBorder="1" applyAlignment="1">
      <alignment vertical="center"/>
    </xf>
    <xf numFmtId="0" fontId="0" fillId="3" borderId="7" xfId="0" applyNumberFormat="1" applyFont="1" applyFill="1" applyBorder="1" applyAlignment="1">
      <alignment vertical="center"/>
    </xf>
    <xf numFmtId="177" fontId="7" fillId="5" borderId="4" xfId="0" applyNumberFormat="1" applyFont="1" applyFill="1" applyBorder="1" applyAlignment="1">
      <alignment vertical="center"/>
    </xf>
    <xf numFmtId="177" fontId="7" fillId="3" borderId="7" xfId="0" applyNumberFormat="1" applyFont="1" applyFill="1" applyBorder="1" applyAlignment="1">
      <alignment vertical="center"/>
    </xf>
    <xf numFmtId="177" fontId="7" fillId="5" borderId="7" xfId="0" applyNumberFormat="1" applyFont="1" applyFill="1" applyBorder="1" applyAlignment="1">
      <alignment vertical="center"/>
    </xf>
    <xf numFmtId="0" fontId="7" fillId="0" borderId="9" xfId="0" applyFont="1" applyBorder="1">
      <alignment vertical="center"/>
    </xf>
    <xf numFmtId="0" fontId="0" fillId="0" borderId="63" xfId="0" applyNumberFormat="1" applyFont="1" applyBorder="1">
      <alignment vertical="center"/>
    </xf>
    <xf numFmtId="0" fontId="0" fillId="0" borderId="24" xfId="0" applyNumberFormat="1" applyFont="1" applyBorder="1">
      <alignment vertical="center"/>
    </xf>
    <xf numFmtId="178" fontId="0" fillId="0" borderId="24" xfId="0" applyNumberFormat="1" applyFont="1" applyBorder="1" applyAlignment="1">
      <alignment horizontal="right" vertical="center"/>
    </xf>
    <xf numFmtId="178" fontId="0" fillId="0" borderId="24" xfId="0" applyNumberFormat="1" applyFont="1" applyFill="1" applyBorder="1" applyAlignment="1">
      <alignment horizontal="right" vertical="center"/>
    </xf>
    <xf numFmtId="41" fontId="0" fillId="0" borderId="24" xfId="0" applyNumberFormat="1" applyFont="1" applyBorder="1" applyAlignment="1">
      <alignment horizontal="right" vertical="center"/>
    </xf>
    <xf numFmtId="178" fontId="0" fillId="3" borderId="24" xfId="0" applyNumberFormat="1" applyFont="1" applyFill="1" applyBorder="1" applyAlignment="1">
      <alignment vertical="center" shrinkToFit="1"/>
    </xf>
    <xf numFmtId="0" fontId="0" fillId="3" borderId="24" xfId="0" applyNumberFormat="1" applyFont="1" applyFill="1" applyBorder="1">
      <alignment vertical="center"/>
    </xf>
    <xf numFmtId="0" fontId="0" fillId="3" borderId="64" xfId="0" applyNumberFormat="1" applyFont="1" applyFill="1" applyBorder="1">
      <alignment vertical="center"/>
    </xf>
    <xf numFmtId="3" fontId="0" fillId="5" borderId="4" xfId="0" applyNumberFormat="1" applyFont="1" applyFill="1" applyBorder="1" applyAlignment="1">
      <alignment vertical="center"/>
    </xf>
    <xf numFmtId="41" fontId="0" fillId="5" borderId="4" xfId="0" applyNumberFormat="1" applyFont="1" applyFill="1" applyBorder="1" applyAlignment="1">
      <alignment horizontal="right" vertical="center" wrapText="1"/>
    </xf>
    <xf numFmtId="178" fontId="0" fillId="5" borderId="4" xfId="4" applyNumberFormat="1" applyFont="1" applyFill="1" applyBorder="1" applyAlignment="1">
      <alignment vertical="center"/>
    </xf>
    <xf numFmtId="3" fontId="0" fillId="5" borderId="4" xfId="4" applyNumberFormat="1" applyFont="1" applyFill="1" applyBorder="1">
      <alignment vertical="center"/>
    </xf>
    <xf numFmtId="0" fontId="0" fillId="5" borderId="4" xfId="0" applyNumberFormat="1" applyFont="1" applyFill="1" applyBorder="1" applyAlignment="1">
      <alignment horizontal="center" vertical="center" wrapText="1"/>
    </xf>
    <xf numFmtId="0" fontId="0" fillId="5" borderId="4" xfId="0" applyNumberFormat="1" applyFont="1" applyFill="1" applyBorder="1" applyAlignment="1">
      <alignment horizontal="justify" vertical="center" wrapText="1"/>
    </xf>
    <xf numFmtId="41" fontId="0" fillId="5" borderId="7" xfId="1" applyNumberFormat="1" applyFont="1" applyFill="1" applyBorder="1">
      <alignment vertical="center"/>
    </xf>
    <xf numFmtId="3" fontId="7" fillId="5" borderId="4" xfId="0" applyNumberFormat="1" applyFont="1" applyFill="1" applyBorder="1">
      <alignment vertical="center"/>
    </xf>
    <xf numFmtId="3" fontId="7" fillId="5" borderId="4" xfId="0" applyNumberFormat="1" applyFont="1" applyFill="1" applyBorder="1" applyAlignment="1">
      <alignment vertical="center"/>
    </xf>
    <xf numFmtId="41" fontId="7" fillId="5" borderId="4" xfId="0" applyNumberFormat="1" applyFont="1" applyFill="1" applyBorder="1" applyAlignment="1">
      <alignment horizontal="right" vertical="center" wrapText="1"/>
    </xf>
    <xf numFmtId="178" fontId="7" fillId="5" borderId="7" xfId="4" applyNumberFormat="1" applyFont="1" applyFill="1" applyBorder="1" applyAlignment="1">
      <alignment horizontal="right" vertical="center"/>
    </xf>
    <xf numFmtId="178" fontId="0" fillId="5" borderId="4" xfId="0" applyNumberFormat="1" applyFont="1" applyFill="1" applyBorder="1" applyAlignment="1">
      <alignment vertical="center"/>
    </xf>
    <xf numFmtId="41" fontId="0" fillId="5" borderId="4" xfId="1" applyNumberFormat="1" applyFont="1" applyFill="1" applyBorder="1" applyAlignment="1">
      <alignment vertical="center"/>
    </xf>
    <xf numFmtId="0" fontId="1" fillId="5" borderId="4" xfId="10" applyNumberFormat="1" applyFont="1" applyFill="1" applyBorder="1" applyAlignment="1">
      <alignment vertical="center" shrinkToFit="1"/>
    </xf>
    <xf numFmtId="0" fontId="1" fillId="6" borderId="11" xfId="0" applyNumberFormat="1" applyFont="1" applyFill="1" applyBorder="1">
      <alignment vertical="center"/>
    </xf>
    <xf numFmtId="0" fontId="0" fillId="6" borderId="12" xfId="0" applyNumberFormat="1" applyFont="1" applyFill="1" applyBorder="1">
      <alignment vertical="center"/>
    </xf>
    <xf numFmtId="0" fontId="0" fillId="6" borderId="13" xfId="0" applyNumberFormat="1" applyFont="1" applyFill="1" applyBorder="1">
      <alignment vertical="center"/>
    </xf>
    <xf numFmtId="0" fontId="1" fillId="6" borderId="14" xfId="0" applyNumberFormat="1" applyFont="1" applyFill="1" applyBorder="1">
      <alignment vertical="center"/>
    </xf>
    <xf numFmtId="176" fontId="1" fillId="6" borderId="13" xfId="0" applyNumberFormat="1" applyFont="1" applyFill="1" applyBorder="1">
      <alignment vertical="center"/>
    </xf>
    <xf numFmtId="176" fontId="1" fillId="6" borderId="14" xfId="0" applyNumberFormat="1" applyFont="1" applyFill="1" applyBorder="1">
      <alignment vertical="center"/>
    </xf>
    <xf numFmtId="176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wrapText="1"/>
    </xf>
    <xf numFmtId="0" fontId="16" fillId="5" borderId="4" xfId="0" applyFont="1" applyFill="1" applyBorder="1">
      <alignment vertical="center"/>
    </xf>
    <xf numFmtId="177" fontId="16" fillId="5" borderId="4" xfId="0" applyNumberFormat="1" applyFont="1" applyFill="1" applyBorder="1">
      <alignment vertical="center"/>
    </xf>
    <xf numFmtId="176" fontId="0" fillId="0" borderId="4" xfId="0" applyNumberFormat="1" applyBorder="1">
      <alignment vertical="center"/>
    </xf>
    <xf numFmtId="176" fontId="16" fillId="5" borderId="4" xfId="0" applyNumberFormat="1" applyFont="1" applyFill="1" applyBorder="1">
      <alignment vertical="center"/>
    </xf>
    <xf numFmtId="176" fontId="16" fillId="5" borderId="4" xfId="0" applyNumberFormat="1" applyFont="1" applyFill="1" applyBorder="1" applyAlignment="1">
      <alignment vertical="center" shrinkToFit="1"/>
    </xf>
    <xf numFmtId="177" fontId="0" fillId="0" borderId="4" xfId="0" applyNumberFormat="1" applyBorder="1">
      <alignment vertical="center"/>
    </xf>
    <xf numFmtId="176" fontId="0" fillId="6" borderId="4" xfId="0" applyNumberFormat="1" applyFill="1" applyBorder="1">
      <alignment vertical="center"/>
    </xf>
    <xf numFmtId="177" fontId="0" fillId="6" borderId="4" xfId="0" applyNumberFormat="1" applyFill="1" applyBorder="1">
      <alignment vertical="center"/>
    </xf>
    <xf numFmtId="176" fontId="16" fillId="5" borderId="19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3" xfId="0" applyBorder="1">
      <alignment vertical="center"/>
    </xf>
    <xf numFmtId="176" fontId="0" fillId="0" borderId="0" xfId="0" applyNumberFormat="1" applyBorder="1">
      <alignment vertical="center"/>
    </xf>
    <xf numFmtId="177" fontId="0" fillId="6" borderId="14" xfId="0" applyNumberFormat="1" applyFill="1" applyBorder="1">
      <alignment vertical="center"/>
    </xf>
    <xf numFmtId="176" fontId="0" fillId="6" borderId="0" xfId="0" applyNumberFormat="1" applyFill="1" applyBorder="1">
      <alignment vertical="center"/>
    </xf>
    <xf numFmtId="177" fontId="0" fillId="0" borderId="0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177" fontId="0" fillId="6" borderId="6" xfId="0" applyNumberFormat="1" applyFill="1" applyBorder="1">
      <alignment vertical="center"/>
    </xf>
    <xf numFmtId="177" fontId="0" fillId="6" borderId="16" xfId="0" applyNumberFormat="1" applyFill="1" applyBorder="1">
      <alignment vertical="center"/>
    </xf>
    <xf numFmtId="0" fontId="1" fillId="0" borderId="4" xfId="0" applyNumberFormat="1" applyFont="1" applyFill="1" applyBorder="1">
      <alignment vertical="center"/>
    </xf>
    <xf numFmtId="176" fontId="1" fillId="0" borderId="4" xfId="0" applyNumberFormat="1" applyFont="1" applyBorder="1">
      <alignment vertical="center"/>
    </xf>
    <xf numFmtId="0" fontId="1" fillId="0" borderId="42" xfId="0" applyNumberFormat="1" applyFont="1" applyFill="1" applyBorder="1">
      <alignment vertical="center"/>
    </xf>
    <xf numFmtId="0" fontId="0" fillId="0" borderId="43" xfId="0" applyNumberFormat="1" applyFont="1" applyFill="1" applyBorder="1">
      <alignment vertical="center"/>
    </xf>
    <xf numFmtId="176" fontId="0" fillId="0" borderId="43" xfId="0" applyNumberFormat="1" applyBorder="1">
      <alignment vertical="center"/>
    </xf>
    <xf numFmtId="0" fontId="0" fillId="0" borderId="44" xfId="0" applyNumberFormat="1" applyFont="1" applyFill="1" applyBorder="1">
      <alignment vertical="center"/>
    </xf>
    <xf numFmtId="0" fontId="1" fillId="0" borderId="3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8" xfId="0" applyNumberFormat="1" applyFont="1" applyFill="1" applyBorder="1">
      <alignment vertical="center"/>
    </xf>
    <xf numFmtId="3" fontId="1" fillId="5" borderId="4" xfId="0" applyNumberFormat="1" applyFont="1" applyFill="1" applyBorder="1">
      <alignment vertical="center"/>
    </xf>
    <xf numFmtId="176" fontId="1" fillId="6" borderId="4" xfId="0" applyNumberFormat="1" applyFont="1" applyFill="1" applyBorder="1" applyAlignment="1">
      <alignment horizontal="center" vertical="center"/>
    </xf>
    <xf numFmtId="0" fontId="0" fillId="3" borderId="19" xfId="0" applyNumberFormat="1" applyFont="1" applyFill="1" applyBorder="1" applyAlignment="1">
      <alignment horizontal="center" vertical="center" shrinkToFit="1"/>
    </xf>
    <xf numFmtId="0" fontId="1" fillId="3" borderId="4" xfId="0" applyNumberFormat="1" applyFont="1" applyFill="1" applyBorder="1" applyAlignment="1">
      <alignment horizontal="center" vertical="center" shrinkToFit="1"/>
    </xf>
    <xf numFmtId="41" fontId="0" fillId="3" borderId="55" xfId="1" applyNumberFormat="1" applyFont="1" applyFill="1" applyBorder="1" applyAlignment="1">
      <alignment vertical="top" shrinkToFit="1"/>
    </xf>
    <xf numFmtId="41" fontId="0" fillId="3" borderId="20" xfId="1" applyNumberFormat="1" applyFont="1" applyFill="1" applyBorder="1" applyAlignment="1">
      <alignment vertical="top" shrinkToFit="1"/>
    </xf>
    <xf numFmtId="41" fontId="1" fillId="3" borderId="4" xfId="0" applyNumberFormat="1" applyFont="1" applyFill="1" applyBorder="1" applyAlignment="1">
      <alignment horizontal="right" vertical="center" wrapText="1"/>
    </xf>
    <xf numFmtId="0" fontId="13" fillId="0" borderId="0" xfId="0" applyNumberFormat="1" applyFont="1" applyAlignment="1">
      <alignment horizontal="center" vertical="center"/>
    </xf>
    <xf numFmtId="0" fontId="7" fillId="0" borderId="0" xfId="3" applyNumberFormat="1" applyFont="1" applyBorder="1" applyAlignment="1">
      <alignment horizontal="left"/>
    </xf>
    <xf numFmtId="0" fontId="4" fillId="0" borderId="45" xfId="3" applyNumberFormat="1" applyFont="1" applyBorder="1" applyAlignment="1">
      <alignment horizontal="center" vertical="center"/>
    </xf>
    <xf numFmtId="0" fontId="4" fillId="0" borderId="46" xfId="3" applyNumberFormat="1" applyFont="1" applyBorder="1" applyAlignment="1">
      <alignment horizontal="center" vertical="center"/>
    </xf>
    <xf numFmtId="0" fontId="4" fillId="0" borderId="47" xfId="3" applyNumberFormat="1" applyFont="1" applyBorder="1" applyAlignment="1">
      <alignment horizontal="center" vertical="center"/>
    </xf>
    <xf numFmtId="0" fontId="4" fillId="0" borderId="48" xfId="3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left" vertical="center" wrapText="1" indent="1"/>
    </xf>
    <xf numFmtId="0" fontId="0" fillId="0" borderId="10" xfId="0" applyNumberFormat="1" applyFont="1" applyBorder="1" applyAlignment="1">
      <alignment horizontal="left" vertical="center" wrapText="1" indent="1"/>
    </xf>
    <xf numFmtId="0" fontId="0" fillId="0" borderId="12" xfId="0" applyNumberFormat="1" applyFont="1" applyBorder="1" applyAlignment="1">
      <alignment horizontal="left" vertical="center" wrapText="1" indent="1"/>
    </xf>
    <xf numFmtId="0" fontId="0" fillId="0" borderId="13" xfId="0" applyNumberFormat="1" applyFont="1" applyBorder="1" applyAlignment="1">
      <alignment horizontal="left" vertical="center" indent="1"/>
    </xf>
    <xf numFmtId="0" fontId="0" fillId="0" borderId="0" xfId="0" applyNumberFormat="1" applyFont="1" applyBorder="1" applyAlignment="1">
      <alignment horizontal="left" vertical="center" indent="1"/>
    </xf>
    <xf numFmtId="0" fontId="0" fillId="0" borderId="14" xfId="0" applyNumberFormat="1" applyFont="1" applyBorder="1" applyAlignment="1">
      <alignment horizontal="left" vertical="center" indent="1"/>
    </xf>
    <xf numFmtId="0" fontId="0" fillId="0" borderId="13" xfId="0" applyNumberFormat="1" applyFont="1" applyBorder="1" applyAlignment="1">
      <alignment horizontal="left" vertical="center" wrapText="1" indent="1"/>
    </xf>
    <xf numFmtId="0" fontId="0" fillId="0" borderId="0" xfId="0" applyNumberFormat="1" applyFont="1" applyBorder="1" applyAlignment="1">
      <alignment horizontal="left" vertical="center" wrapText="1" indent="1"/>
    </xf>
    <xf numFmtId="0" fontId="0" fillId="0" borderId="14" xfId="0" applyNumberFormat="1" applyFont="1" applyBorder="1" applyAlignment="1">
      <alignment horizontal="left" vertical="center" wrapText="1" indent="1"/>
    </xf>
    <xf numFmtId="0" fontId="0" fillId="0" borderId="15" xfId="0" applyNumberFormat="1" applyFont="1" applyBorder="1" applyAlignment="1">
      <alignment horizontal="left" vertical="center" wrapText="1"/>
    </xf>
    <xf numFmtId="0" fontId="0" fillId="0" borderId="9" xfId="0" applyNumberFormat="1" applyFont="1" applyBorder="1" applyAlignment="1">
      <alignment horizontal="left" vertical="center" wrapText="1"/>
    </xf>
    <xf numFmtId="0" fontId="0" fillId="0" borderId="16" xfId="0" applyNumberFormat="1" applyFont="1" applyBorder="1" applyAlignment="1">
      <alignment horizontal="left" vertical="center" wrapText="1"/>
    </xf>
    <xf numFmtId="41" fontId="0" fillId="3" borderId="3" xfId="1" applyNumberFormat="1" applyFont="1" applyFill="1" applyBorder="1" applyAlignment="1">
      <alignment horizontal="center" vertical="center"/>
    </xf>
    <xf numFmtId="41" fontId="0" fillId="3" borderId="4" xfId="1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left" vertical="center"/>
    </xf>
    <xf numFmtId="0" fontId="0" fillId="0" borderId="0" xfId="0" applyNumberFormat="1" applyBorder="1" applyAlignment="1">
      <alignment horizontal="right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wrapText="1"/>
    </xf>
    <xf numFmtId="0" fontId="0" fillId="3" borderId="42" xfId="0" applyNumberFormat="1" applyFont="1" applyFill="1" applyBorder="1" applyAlignment="1">
      <alignment horizontal="center" vertical="center"/>
    </xf>
    <xf numFmtId="0" fontId="0" fillId="3" borderId="43" xfId="0" applyNumberFormat="1" applyFont="1" applyFill="1" applyBorder="1" applyAlignment="1">
      <alignment horizontal="center" vertical="center"/>
    </xf>
    <xf numFmtId="0" fontId="0" fillId="3" borderId="55" xfId="0" applyNumberFormat="1" applyFont="1" applyFill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  <xf numFmtId="0" fontId="0" fillId="0" borderId="44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left" vertical="center" shrinkToFit="1"/>
    </xf>
    <xf numFmtId="0" fontId="0" fillId="0" borderId="4" xfId="0" applyNumberFormat="1" applyBorder="1" applyAlignment="1">
      <alignment horizontal="left" vertical="center"/>
    </xf>
    <xf numFmtId="0" fontId="1" fillId="4" borderId="43" xfId="0" applyNumberFormat="1" applyFont="1" applyFill="1" applyBorder="1" applyAlignment="1">
      <alignment horizontal="center" vertical="center" wrapText="1"/>
    </xf>
    <xf numFmtId="0" fontId="0" fillId="4" borderId="4" xfId="0" applyNumberFormat="1" applyFont="1" applyFill="1" applyBorder="1" applyAlignment="1">
      <alignment horizontal="center" vertical="center"/>
    </xf>
    <xf numFmtId="41" fontId="0" fillId="2" borderId="43" xfId="0" applyNumberFormat="1" applyFont="1" applyFill="1" applyBorder="1" applyAlignment="1">
      <alignment horizontal="center" vertical="center" wrapText="1"/>
    </xf>
    <xf numFmtId="41" fontId="0" fillId="0" borderId="4" xfId="0" applyNumberFormat="1" applyFont="1" applyBorder="1" applyAlignment="1">
      <alignment horizontal="center" vertical="center" wrapText="1"/>
    </xf>
    <xf numFmtId="178" fontId="43" fillId="5" borderId="4" xfId="0" applyNumberFormat="1" applyFont="1" applyFill="1" applyBorder="1" applyAlignment="1">
      <alignment horizontal="left" vertical="center" shrinkToFit="1"/>
    </xf>
    <xf numFmtId="0" fontId="42" fillId="5" borderId="4" xfId="0" applyNumberFormat="1" applyFont="1" applyFill="1" applyBorder="1" applyAlignment="1">
      <alignment horizontal="left" vertical="center"/>
    </xf>
    <xf numFmtId="0" fontId="1" fillId="4" borderId="43" xfId="0" applyNumberFormat="1" applyFont="1" applyFill="1" applyBorder="1" applyAlignment="1" applyProtection="1">
      <alignment horizontal="center" vertical="center"/>
    </xf>
    <xf numFmtId="0" fontId="0" fillId="4" borderId="43" xfId="0" applyNumberFormat="1" applyFont="1" applyFill="1" applyBorder="1" applyAlignment="1" applyProtection="1">
      <alignment horizontal="center" vertical="center"/>
    </xf>
    <xf numFmtId="0" fontId="0" fillId="4" borderId="44" xfId="0" applyNumberFormat="1" applyFont="1" applyFill="1" applyBorder="1" applyAlignment="1" applyProtection="1">
      <alignment horizontal="center" vertical="center"/>
    </xf>
    <xf numFmtId="0" fontId="0" fillId="4" borderId="7" xfId="0" applyNumberFormat="1" applyFont="1" applyFill="1" applyBorder="1" applyAlignment="1" applyProtection="1">
      <alignment horizontal="center" vertical="center"/>
    </xf>
    <xf numFmtId="178" fontId="1" fillId="3" borderId="6" xfId="0" applyNumberFormat="1" applyFont="1" applyFill="1" applyBorder="1" applyAlignment="1">
      <alignment horizontal="left" vertical="center"/>
    </xf>
    <xf numFmtId="0" fontId="0" fillId="3" borderId="6" xfId="0" applyNumberFormat="1" applyFont="1" applyFill="1" applyBorder="1" applyAlignment="1">
      <alignment vertical="center"/>
    </xf>
    <xf numFmtId="0" fontId="0" fillId="3" borderId="8" xfId="0" applyNumberFormat="1" applyFont="1" applyFill="1" applyBorder="1" applyAlignment="1">
      <alignment vertical="center"/>
    </xf>
    <xf numFmtId="177" fontId="7" fillId="5" borderId="4" xfId="0" applyNumberFormat="1" applyFont="1" applyFill="1" applyBorder="1" applyAlignment="1">
      <alignment vertical="center"/>
    </xf>
    <xf numFmtId="0" fontId="7" fillId="5" borderId="4" xfId="0" applyNumberFormat="1" applyFont="1" applyFill="1" applyBorder="1" applyAlignment="1">
      <alignment vertical="center"/>
    </xf>
    <xf numFmtId="0" fontId="7" fillId="5" borderId="7" xfId="0" applyNumberFormat="1" applyFont="1" applyFill="1" applyBorder="1" applyAlignment="1">
      <alignment vertical="center"/>
    </xf>
    <xf numFmtId="0" fontId="7" fillId="5" borderId="4" xfId="0" applyNumberFormat="1" applyFont="1" applyFill="1" applyBorder="1" applyAlignment="1">
      <alignment horizontal="left" vertical="center" shrinkToFit="1"/>
    </xf>
    <xf numFmtId="0" fontId="0" fillId="5" borderId="4" xfId="0" applyNumberFormat="1" applyFill="1" applyBorder="1" applyAlignment="1">
      <alignment horizontal="left" vertical="center"/>
    </xf>
    <xf numFmtId="178" fontId="1" fillId="5" borderId="4" xfId="0" applyNumberFormat="1" applyFont="1" applyFill="1" applyBorder="1" applyAlignment="1">
      <alignment horizontal="left" vertical="center"/>
    </xf>
    <xf numFmtId="0" fontId="0" fillId="5" borderId="4" xfId="0" applyNumberFormat="1" applyFont="1" applyFill="1" applyBorder="1" applyAlignment="1">
      <alignment vertical="center"/>
    </xf>
    <xf numFmtId="0" fontId="0" fillId="5" borderId="7" xfId="0" applyNumberFormat="1" applyFont="1" applyFill="1" applyBorder="1" applyAlignment="1">
      <alignment vertical="center"/>
    </xf>
    <xf numFmtId="178" fontId="1" fillId="3" borderId="4" xfId="0" applyNumberFormat="1" applyFont="1" applyFill="1" applyBorder="1" applyAlignment="1">
      <alignment vertical="center"/>
    </xf>
    <xf numFmtId="0" fontId="0" fillId="3" borderId="4" xfId="0" applyNumberFormat="1" applyFont="1" applyFill="1" applyBorder="1" applyAlignment="1">
      <alignment vertical="center"/>
    </xf>
    <xf numFmtId="0" fontId="0" fillId="3" borderId="7" xfId="0" applyNumberFormat="1" applyFont="1" applyFill="1" applyBorder="1" applyAlignment="1">
      <alignment vertical="center"/>
    </xf>
    <xf numFmtId="178" fontId="16" fillId="5" borderId="4" xfId="0" applyNumberFormat="1" applyFont="1" applyFill="1" applyBorder="1" applyAlignment="1">
      <alignment horizontal="left" vertical="center"/>
    </xf>
    <xf numFmtId="0" fontId="16" fillId="5" borderId="4" xfId="0" applyNumberFormat="1" applyFont="1" applyFill="1" applyBorder="1" applyAlignment="1">
      <alignment vertical="center"/>
    </xf>
    <xf numFmtId="0" fontId="16" fillId="5" borderId="7" xfId="0" applyNumberFormat="1" applyFont="1" applyFill="1" applyBorder="1" applyAlignment="1">
      <alignment vertical="center"/>
    </xf>
    <xf numFmtId="178" fontId="7" fillId="5" borderId="4" xfId="0" applyNumberFormat="1" applyFont="1" applyFill="1" applyBorder="1" applyAlignment="1">
      <alignment horizontal="left" vertical="center"/>
    </xf>
    <xf numFmtId="178" fontId="46" fillId="5" borderId="4" xfId="0" applyNumberFormat="1" applyFont="1" applyFill="1" applyBorder="1" applyAlignment="1">
      <alignment horizontal="left" vertical="center" shrinkToFit="1"/>
    </xf>
    <xf numFmtId="177" fontId="7" fillId="3" borderId="4" xfId="0" applyNumberFormat="1" applyFont="1" applyFill="1" applyBorder="1" applyAlignment="1">
      <alignment vertical="center"/>
    </xf>
    <xf numFmtId="178" fontId="0" fillId="5" borderId="4" xfId="0" applyNumberFormat="1" applyFont="1" applyFill="1" applyBorder="1" applyAlignment="1">
      <alignment horizontal="left" vertical="center"/>
    </xf>
    <xf numFmtId="178" fontId="0" fillId="5" borderId="7" xfId="0" applyNumberFormat="1" applyFont="1" applyFill="1" applyBorder="1" applyAlignment="1">
      <alignment horizontal="left" vertical="center"/>
    </xf>
    <xf numFmtId="177" fontId="7" fillId="3" borderId="18" xfId="0" applyNumberFormat="1" applyFont="1" applyFill="1" applyBorder="1" applyAlignment="1">
      <alignment vertical="center"/>
    </xf>
    <xf numFmtId="0" fontId="0" fillId="3" borderId="18" xfId="0" applyNumberFormat="1" applyFont="1" applyFill="1" applyBorder="1" applyAlignment="1">
      <alignment vertical="center"/>
    </xf>
    <xf numFmtId="0" fontId="0" fillId="3" borderId="27" xfId="0" applyNumberFormat="1" applyFont="1" applyFill="1" applyBorder="1" applyAlignment="1">
      <alignment vertical="center"/>
    </xf>
    <xf numFmtId="177" fontId="7" fillId="3" borderId="7" xfId="0" applyNumberFormat="1" applyFont="1" applyFill="1" applyBorder="1" applyAlignment="1">
      <alignment vertical="center"/>
    </xf>
    <xf numFmtId="41" fontId="7" fillId="3" borderId="4" xfId="0" applyNumberFormat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right" vertical="center" shrinkToFit="1"/>
    </xf>
    <xf numFmtId="0" fontId="7" fillId="3" borderId="7" xfId="0" applyFont="1" applyFill="1" applyBorder="1" applyAlignment="1">
      <alignment horizontal="right" vertical="center" shrinkToFit="1"/>
    </xf>
    <xf numFmtId="178" fontId="1" fillId="3" borderId="4" xfId="0" applyNumberFormat="1" applyFont="1" applyFill="1" applyBorder="1" applyAlignment="1">
      <alignment horizontal="left" vertical="center"/>
    </xf>
    <xf numFmtId="178" fontId="0" fillId="3" borderId="4" xfId="0" applyNumberFormat="1" applyFont="1" applyFill="1" applyBorder="1" applyAlignment="1">
      <alignment horizontal="left" vertical="center"/>
    </xf>
    <xf numFmtId="178" fontId="0" fillId="3" borderId="7" xfId="0" applyNumberFormat="1" applyFont="1" applyFill="1" applyBorder="1" applyAlignment="1">
      <alignment horizontal="left" vertical="center"/>
    </xf>
    <xf numFmtId="0" fontId="1" fillId="3" borderId="4" xfId="0" applyNumberFormat="1" applyFont="1" applyFill="1" applyBorder="1" applyAlignment="1">
      <alignment horizontal="left" vertical="center" shrinkToFit="1"/>
    </xf>
    <xf numFmtId="0" fontId="0" fillId="3" borderId="4" xfId="0" applyNumberFormat="1" applyFont="1" applyFill="1" applyBorder="1" applyAlignment="1">
      <alignment horizontal="left" vertical="center" shrinkToFit="1"/>
    </xf>
    <xf numFmtId="0" fontId="0" fillId="3" borderId="7" xfId="0" applyNumberFormat="1" applyFont="1" applyFill="1" applyBorder="1" applyAlignment="1">
      <alignment horizontal="left" vertical="center" shrinkToFit="1"/>
    </xf>
    <xf numFmtId="0" fontId="1" fillId="3" borderId="6" xfId="0" applyNumberFormat="1" applyFont="1" applyFill="1" applyBorder="1" applyAlignment="1">
      <alignment horizontal="left" vertical="center" shrinkToFit="1"/>
    </xf>
    <xf numFmtId="0" fontId="0" fillId="3" borderId="6" xfId="0" applyNumberFormat="1" applyFont="1" applyFill="1" applyBorder="1" applyAlignment="1">
      <alignment horizontal="left" vertical="center" shrinkToFit="1"/>
    </xf>
    <xf numFmtId="0" fontId="0" fillId="3" borderId="8" xfId="0" applyNumberFormat="1" applyFont="1" applyFill="1" applyBorder="1" applyAlignment="1">
      <alignment horizontal="left" vertical="center" shrinkToFit="1"/>
    </xf>
    <xf numFmtId="178" fontId="1" fillId="5" borderId="4" xfId="4" applyNumberFormat="1" applyFont="1" applyFill="1" applyBorder="1" applyAlignment="1">
      <alignment horizontal="left" vertical="center"/>
    </xf>
    <xf numFmtId="178" fontId="0" fillId="5" borderId="4" xfId="4" applyNumberFormat="1" applyFont="1" applyFill="1" applyBorder="1" applyAlignment="1">
      <alignment horizontal="left" vertical="center"/>
    </xf>
    <xf numFmtId="178" fontId="0" fillId="5" borderId="7" xfId="4" applyNumberFormat="1" applyFont="1" applyFill="1" applyBorder="1" applyAlignment="1">
      <alignment horizontal="left" vertical="center"/>
    </xf>
    <xf numFmtId="0" fontId="7" fillId="3" borderId="4" xfId="0" applyNumberFormat="1" applyFont="1" applyFill="1" applyBorder="1" applyAlignment="1">
      <alignment horizontal="right" vertical="center" shrinkToFit="1"/>
    </xf>
    <xf numFmtId="0" fontId="7" fillId="3" borderId="7" xfId="0" applyNumberFormat="1" applyFont="1" applyFill="1" applyBorder="1" applyAlignment="1">
      <alignment horizontal="right" vertical="center" shrinkToFit="1"/>
    </xf>
    <xf numFmtId="41" fontId="7" fillId="3" borderId="4" xfId="0" applyNumberFormat="1" applyFont="1" applyFill="1" applyBorder="1" applyAlignment="1">
      <alignment horizontal="right" vertical="center"/>
    </xf>
    <xf numFmtId="0" fontId="7" fillId="3" borderId="4" xfId="0" applyNumberFormat="1" applyFont="1" applyFill="1" applyBorder="1" applyAlignment="1">
      <alignment horizontal="right" vertical="center"/>
    </xf>
    <xf numFmtId="0" fontId="7" fillId="3" borderId="7" xfId="0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horizontal="right" vertical="center"/>
    </xf>
    <xf numFmtId="3" fontId="0" fillId="3" borderId="7" xfId="0" applyNumberFormat="1" applyFont="1" applyFill="1" applyBorder="1" applyAlignment="1">
      <alignment horizontal="right" vertical="center"/>
    </xf>
    <xf numFmtId="41" fontId="0" fillId="3" borderId="4" xfId="1" applyNumberFormat="1" applyFont="1" applyFill="1" applyBorder="1" applyAlignment="1">
      <alignment horizontal="right" vertical="center" wrapText="1"/>
    </xf>
    <xf numFmtId="41" fontId="0" fillId="3" borderId="7" xfId="1" applyNumberFormat="1" applyFont="1" applyFill="1" applyBorder="1" applyAlignment="1">
      <alignment horizontal="right" vertical="center" wrapText="1"/>
    </xf>
    <xf numFmtId="3" fontId="0" fillId="3" borderId="4" xfId="0" applyNumberFormat="1" applyFont="1" applyFill="1" applyBorder="1" applyAlignment="1">
      <alignment horizontal="center" vertical="center"/>
    </xf>
    <xf numFmtId="178" fontId="7" fillId="3" borderId="4" xfId="4" applyNumberFormat="1" applyFont="1" applyFill="1" applyBorder="1" applyAlignment="1">
      <alignment horizontal="left" vertical="center" shrinkToFit="1"/>
    </xf>
    <xf numFmtId="0" fontId="1" fillId="3" borderId="18" xfId="0" applyFont="1" applyFill="1" applyBorder="1" applyAlignment="1">
      <alignment horizontal="left" vertical="center" shrinkToFit="1"/>
    </xf>
    <xf numFmtId="0" fontId="0" fillId="3" borderId="18" xfId="0" applyFill="1" applyBorder="1" applyAlignment="1">
      <alignment horizontal="left" vertical="center" shrinkToFit="1"/>
    </xf>
    <xf numFmtId="0" fontId="0" fillId="3" borderId="27" xfId="0" applyFill="1" applyBorder="1" applyAlignment="1">
      <alignment horizontal="left" vertical="center" shrinkToFit="1"/>
    </xf>
    <xf numFmtId="0" fontId="0" fillId="2" borderId="42" xfId="0" applyNumberFormat="1" applyFont="1" applyFill="1" applyBorder="1" applyAlignment="1">
      <alignment horizontal="center" vertical="center"/>
    </xf>
    <xf numFmtId="0" fontId="0" fillId="2" borderId="43" xfId="0" applyNumberFormat="1" applyFont="1" applyFill="1" applyBorder="1" applyAlignment="1">
      <alignment horizontal="center" vertical="center"/>
    </xf>
    <xf numFmtId="0" fontId="1" fillId="2" borderId="42" xfId="0" applyNumberFormat="1" applyFont="1" applyFill="1" applyBorder="1" applyAlignment="1">
      <alignment horizontal="center" vertical="center"/>
    </xf>
    <xf numFmtId="177" fontId="7" fillId="3" borderId="4" xfId="0" applyNumberFormat="1" applyFont="1" applyFill="1" applyBorder="1" applyAlignment="1">
      <alignment horizontal="right" vertical="center"/>
    </xf>
    <xf numFmtId="0" fontId="0" fillId="3" borderId="4" xfId="0" applyNumberFormat="1" applyFont="1" applyFill="1" applyBorder="1" applyAlignment="1">
      <alignment horizontal="right" vertical="center"/>
    </xf>
    <xf numFmtId="0" fontId="0" fillId="3" borderId="7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3" fontId="16" fillId="3" borderId="4" xfId="0" applyNumberFormat="1" applyFon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left" vertical="center" shrinkToFit="1"/>
    </xf>
    <xf numFmtId="0" fontId="0" fillId="5" borderId="4" xfId="0" applyNumberFormat="1" applyFont="1" applyFill="1" applyBorder="1" applyAlignment="1">
      <alignment horizontal="left" vertical="center" shrinkToFit="1"/>
    </xf>
    <xf numFmtId="0" fontId="0" fillId="5" borderId="7" xfId="0" applyNumberFormat="1" applyFont="1" applyFill="1" applyBorder="1" applyAlignment="1">
      <alignment horizontal="left" vertical="center" shrinkToFit="1"/>
    </xf>
    <xf numFmtId="0" fontId="1" fillId="3" borderId="4" xfId="0" applyNumberFormat="1" applyFont="1" applyFill="1" applyBorder="1" applyAlignment="1">
      <alignment horizontal="left" vertical="center"/>
    </xf>
    <xf numFmtId="0" fontId="0" fillId="3" borderId="4" xfId="0" applyNumberFormat="1" applyFont="1" applyFill="1" applyBorder="1" applyAlignment="1">
      <alignment horizontal="left" vertical="center"/>
    </xf>
    <xf numFmtId="0" fontId="0" fillId="3" borderId="7" xfId="0" applyNumberFormat="1" applyFont="1" applyFill="1" applyBorder="1" applyAlignment="1">
      <alignment horizontal="left" vertical="center"/>
    </xf>
    <xf numFmtId="3" fontId="7" fillId="3" borderId="4" xfId="4" applyNumberFormat="1" applyFont="1" applyFill="1" applyBorder="1" applyAlignment="1">
      <alignment horizontal="right" vertical="center"/>
    </xf>
    <xf numFmtId="3" fontId="7" fillId="3" borderId="7" xfId="4" applyNumberFormat="1" applyFont="1" applyFill="1" applyBorder="1" applyAlignment="1">
      <alignment horizontal="right" vertical="center"/>
    </xf>
    <xf numFmtId="178" fontId="0" fillId="3" borderId="6" xfId="0" applyNumberFormat="1" applyFont="1" applyFill="1" applyBorder="1" applyAlignment="1">
      <alignment horizontal="left" vertical="center"/>
    </xf>
    <xf numFmtId="178" fontId="0" fillId="3" borderId="8" xfId="0" applyNumberFormat="1" applyFont="1" applyFill="1" applyBorder="1" applyAlignment="1">
      <alignment horizontal="left" vertical="center"/>
    </xf>
    <xf numFmtId="177" fontId="0" fillId="5" borderId="38" xfId="0" applyNumberFormat="1" applyFont="1" applyFill="1" applyBorder="1" applyAlignment="1">
      <alignment vertical="center"/>
    </xf>
    <xf numFmtId="177" fontId="0" fillId="5" borderId="37" xfId="0" applyNumberFormat="1" applyFont="1" applyFill="1" applyBorder="1" applyAlignment="1">
      <alignment vertical="center"/>
    </xf>
    <xf numFmtId="177" fontId="0" fillId="5" borderId="53" xfId="0" applyNumberFormat="1" applyFont="1" applyFill="1" applyBorder="1" applyAlignment="1">
      <alignment vertical="center"/>
    </xf>
    <xf numFmtId="177" fontId="7" fillId="5" borderId="4" xfId="0" applyNumberFormat="1" applyFont="1" applyFill="1" applyBorder="1" applyAlignment="1">
      <alignment vertical="center" shrinkToFit="1"/>
    </xf>
    <xf numFmtId="177" fontId="7" fillId="5" borderId="7" xfId="0" applyNumberFormat="1" applyFont="1" applyFill="1" applyBorder="1" applyAlignment="1">
      <alignment vertical="center" shrinkToFit="1"/>
    </xf>
    <xf numFmtId="179" fontId="7" fillId="5" borderId="4" xfId="0" applyNumberFormat="1" applyFont="1" applyFill="1" applyBorder="1" applyAlignment="1">
      <alignment vertical="center"/>
    </xf>
    <xf numFmtId="179" fontId="7" fillId="5" borderId="7" xfId="0" applyNumberFormat="1" applyFont="1" applyFill="1" applyBorder="1" applyAlignment="1">
      <alignment vertical="center"/>
    </xf>
    <xf numFmtId="178" fontId="16" fillId="5" borderId="7" xfId="0" applyNumberFormat="1" applyFont="1" applyFill="1" applyBorder="1" applyAlignment="1">
      <alignment horizontal="left" vertical="center"/>
    </xf>
    <xf numFmtId="178" fontId="7" fillId="5" borderId="38" xfId="0" applyNumberFormat="1" applyFont="1" applyFill="1" applyBorder="1" applyAlignment="1">
      <alignment horizontal="right" vertical="center"/>
    </xf>
    <xf numFmtId="178" fontId="7" fillId="5" borderId="37" xfId="0" applyNumberFormat="1" applyFont="1" applyFill="1" applyBorder="1" applyAlignment="1">
      <alignment horizontal="right" vertical="center"/>
    </xf>
    <xf numFmtId="178" fontId="7" fillId="5" borderId="53" xfId="0" applyNumberFormat="1" applyFont="1" applyFill="1" applyBorder="1" applyAlignment="1">
      <alignment horizontal="right" vertical="center"/>
    </xf>
    <xf numFmtId="178" fontId="0" fillId="3" borderId="38" xfId="0" applyNumberFormat="1" applyFont="1" applyFill="1" applyBorder="1" applyAlignment="1">
      <alignment horizontal="right" vertical="center"/>
    </xf>
    <xf numFmtId="178" fontId="0" fillId="3" borderId="37" xfId="0" applyNumberFormat="1" applyFont="1" applyFill="1" applyBorder="1" applyAlignment="1">
      <alignment horizontal="right" vertical="center"/>
    </xf>
    <xf numFmtId="178" fontId="0" fillId="3" borderId="53" xfId="0" applyNumberFormat="1" applyFont="1" applyFill="1" applyBorder="1" applyAlignment="1">
      <alignment horizontal="right" vertical="center"/>
    </xf>
    <xf numFmtId="177" fontId="7" fillId="5" borderId="7" xfId="0" applyNumberFormat="1" applyFont="1" applyFill="1" applyBorder="1" applyAlignment="1">
      <alignment vertical="center"/>
    </xf>
    <xf numFmtId="178" fontId="0" fillId="5" borderId="38" xfId="0" applyNumberFormat="1" applyFont="1" applyFill="1" applyBorder="1" applyAlignment="1">
      <alignment horizontal="right" vertical="center"/>
    </xf>
    <xf numFmtId="178" fontId="0" fillId="5" borderId="37" xfId="0" applyNumberFormat="1" applyFont="1" applyFill="1" applyBorder="1" applyAlignment="1">
      <alignment horizontal="right" vertical="center"/>
    </xf>
    <xf numFmtId="178" fontId="0" fillId="5" borderId="53" xfId="0" applyNumberFormat="1" applyFont="1" applyFill="1" applyBorder="1" applyAlignment="1">
      <alignment horizontal="right" vertical="center"/>
    </xf>
    <xf numFmtId="178" fontId="7" fillId="5" borderId="38" xfId="0" applyNumberFormat="1" applyFont="1" applyFill="1" applyBorder="1" applyAlignment="1">
      <alignment horizontal="right" vertical="center" shrinkToFit="1"/>
    </xf>
    <xf numFmtId="178" fontId="7" fillId="5" borderId="37" xfId="0" applyNumberFormat="1" applyFont="1" applyFill="1" applyBorder="1" applyAlignment="1">
      <alignment horizontal="right" vertical="center" shrinkToFit="1"/>
    </xf>
    <xf numFmtId="178" fontId="7" fillId="5" borderId="53" xfId="0" applyNumberFormat="1" applyFont="1" applyFill="1" applyBorder="1" applyAlignment="1">
      <alignment horizontal="right" vertical="center" shrinkToFit="1"/>
    </xf>
    <xf numFmtId="177" fontId="7" fillId="5" borderId="38" xfId="0" applyNumberFormat="1" applyFont="1" applyFill="1" applyBorder="1" applyAlignment="1">
      <alignment horizontal="right" vertical="center"/>
    </xf>
    <xf numFmtId="177" fontId="7" fillId="5" borderId="37" xfId="0" applyNumberFormat="1" applyFont="1" applyFill="1" applyBorder="1" applyAlignment="1">
      <alignment horizontal="right" vertical="center"/>
    </xf>
    <xf numFmtId="177" fontId="7" fillId="5" borderId="53" xfId="0" applyNumberFormat="1" applyFont="1" applyFill="1" applyBorder="1" applyAlignment="1">
      <alignment horizontal="right" vertical="center"/>
    </xf>
    <xf numFmtId="178" fontId="7" fillId="3" borderId="38" xfId="0" applyNumberFormat="1" applyFont="1" applyFill="1" applyBorder="1" applyAlignment="1">
      <alignment horizontal="right" vertical="center" shrinkToFit="1"/>
    </xf>
    <xf numFmtId="178" fontId="7" fillId="3" borderId="37" xfId="0" applyNumberFormat="1" applyFont="1" applyFill="1" applyBorder="1" applyAlignment="1">
      <alignment horizontal="right" vertical="center" shrinkToFit="1"/>
    </xf>
    <xf numFmtId="178" fontId="7" fillId="3" borderId="53" xfId="0" applyNumberFormat="1" applyFont="1" applyFill="1" applyBorder="1" applyAlignment="1">
      <alignment horizontal="right" vertical="center" shrinkToFit="1"/>
    </xf>
    <xf numFmtId="177" fontId="0" fillId="5" borderId="38" xfId="0" applyNumberFormat="1" applyFont="1" applyFill="1" applyBorder="1" applyAlignment="1">
      <alignment horizontal="right" vertical="center"/>
    </xf>
    <xf numFmtId="177" fontId="0" fillId="5" borderId="37" xfId="0" applyNumberFormat="1" applyFont="1" applyFill="1" applyBorder="1" applyAlignment="1">
      <alignment horizontal="right" vertical="center"/>
    </xf>
    <xf numFmtId="177" fontId="0" fillId="5" borderId="53" xfId="0" applyNumberFormat="1" applyFont="1" applyFill="1" applyBorder="1" applyAlignment="1">
      <alignment horizontal="right" vertical="center"/>
    </xf>
    <xf numFmtId="177" fontId="7" fillId="5" borderId="38" xfId="0" applyNumberFormat="1" applyFont="1" applyFill="1" applyBorder="1" applyAlignment="1">
      <alignment vertical="center"/>
    </xf>
    <xf numFmtId="177" fontId="7" fillId="5" borderId="37" xfId="0" applyNumberFormat="1" applyFont="1" applyFill="1" applyBorder="1" applyAlignment="1">
      <alignment vertical="center"/>
    </xf>
    <xf numFmtId="177" fontId="7" fillId="5" borderId="53" xfId="0" applyNumberFormat="1" applyFont="1" applyFill="1" applyBorder="1" applyAlignment="1">
      <alignment vertical="center"/>
    </xf>
    <xf numFmtId="177" fontId="7" fillId="5" borderId="38" xfId="10" applyNumberFormat="1" applyFont="1" applyFill="1" applyBorder="1" applyAlignment="1">
      <alignment horizontal="right" vertical="center" shrinkToFit="1"/>
    </xf>
    <xf numFmtId="177" fontId="7" fillId="5" borderId="37" xfId="10" applyNumberFormat="1" applyFont="1" applyFill="1" applyBorder="1" applyAlignment="1">
      <alignment horizontal="right" vertical="center" shrinkToFit="1"/>
    </xf>
    <xf numFmtId="177" fontId="7" fillId="5" borderId="53" xfId="10" applyNumberFormat="1" applyFont="1" applyFill="1" applyBorder="1" applyAlignment="1">
      <alignment horizontal="right" vertical="center" shrinkToFit="1"/>
    </xf>
    <xf numFmtId="178" fontId="7" fillId="0" borderId="38" xfId="0" applyNumberFormat="1" applyFont="1" applyFill="1" applyBorder="1" applyAlignment="1" applyProtection="1">
      <alignment horizontal="left" vertical="center" shrinkToFit="1"/>
    </xf>
    <xf numFmtId="178" fontId="7" fillId="0" borderId="37" xfId="0" applyNumberFormat="1" applyFont="1" applyFill="1" applyBorder="1" applyAlignment="1" applyProtection="1">
      <alignment horizontal="left" vertical="center" shrinkToFit="1"/>
    </xf>
    <xf numFmtId="178" fontId="41" fillId="3" borderId="4" xfId="0" applyNumberFormat="1" applyFont="1" applyFill="1" applyBorder="1" applyAlignment="1" applyProtection="1">
      <alignment horizontal="left" vertical="center"/>
    </xf>
    <xf numFmtId="177" fontId="7" fillId="3" borderId="4" xfId="0" applyNumberFormat="1" applyFont="1" applyFill="1" applyBorder="1" applyAlignment="1">
      <alignment horizontal="right" vertical="center" shrinkToFit="1"/>
    </xf>
    <xf numFmtId="41" fontId="0" fillId="3" borderId="4" xfId="1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left" vertical="center" wrapText="1"/>
    </xf>
    <xf numFmtId="0" fontId="0" fillId="3" borderId="4" xfId="0" applyNumberFormat="1" applyFont="1" applyFill="1" applyBorder="1" applyAlignment="1">
      <alignment horizontal="left" vertical="center" wrapText="1"/>
    </xf>
    <xf numFmtId="0" fontId="0" fillId="3" borderId="7" xfId="0" applyNumberFormat="1" applyFont="1" applyFill="1" applyBorder="1" applyAlignment="1">
      <alignment horizontal="left" vertical="center" wrapText="1"/>
    </xf>
    <xf numFmtId="177" fontId="7" fillId="5" borderId="4" xfId="0" applyNumberFormat="1" applyFont="1" applyFill="1" applyBorder="1" applyAlignment="1">
      <alignment horizontal="right" vertical="center"/>
    </xf>
    <xf numFmtId="0" fontId="7" fillId="5" borderId="4" xfId="0" applyNumberFormat="1" applyFont="1" applyFill="1" applyBorder="1" applyAlignment="1">
      <alignment horizontal="right" vertical="center"/>
    </xf>
    <xf numFmtId="0" fontId="7" fillId="5" borderId="7" xfId="0" applyNumberFormat="1" applyFont="1" applyFill="1" applyBorder="1" applyAlignment="1">
      <alignment horizontal="right" vertical="center"/>
    </xf>
    <xf numFmtId="3" fontId="7" fillId="3" borderId="4" xfId="0" applyNumberFormat="1" applyFont="1" applyFill="1" applyBorder="1" applyAlignment="1">
      <alignment horizontal="center" vertical="center"/>
    </xf>
  </cellXfs>
  <cellStyles count="15">
    <cellStyle name="쉼표 [0]" xfId="1" builtinId="6"/>
    <cellStyle name="쉼표 [0] 2" xfId="2" xr:uid="{00000000-0005-0000-0000-000001000000}"/>
    <cellStyle name="쉼표 [0] 2 2" xfId="11" xr:uid="{00000000-0005-0000-0000-000002000000}"/>
    <cellStyle name="쉼표 [0] 3" xfId="8" xr:uid="{00000000-0005-0000-0000-000003000000}"/>
    <cellStyle name="쉼표 [0] 4" xfId="14" xr:uid="{00000000-0005-0000-0000-000004000000}"/>
    <cellStyle name="쉼표 [0] 5" xfId="7" xr:uid="{00000000-0005-0000-0000-000005000000}"/>
    <cellStyle name="표준" xfId="0" builtinId="0"/>
    <cellStyle name="표준 2" xfId="3" xr:uid="{00000000-0005-0000-0000-000007000000}"/>
    <cellStyle name="표준 2 2" xfId="10" xr:uid="{00000000-0005-0000-0000-000008000000}"/>
    <cellStyle name="표준 3" xfId="4" xr:uid="{00000000-0005-0000-0000-000009000000}"/>
    <cellStyle name="표준 4" xfId="5" xr:uid="{00000000-0005-0000-0000-00000A000000}"/>
    <cellStyle name="표준 5" xfId="6" xr:uid="{00000000-0005-0000-0000-00000B000000}"/>
    <cellStyle name="표준 5 2" xfId="12" xr:uid="{00000000-0005-0000-0000-00000C000000}"/>
    <cellStyle name="표준 6" xfId="9" xr:uid="{00000000-0005-0000-0000-00000D000000}"/>
    <cellStyle name="표준 7" xfId="13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105"/>
  <sheetViews>
    <sheetView zoomScaleNormal="100" workbookViewId="0">
      <selection activeCell="H6" sqref="H6"/>
    </sheetView>
  </sheetViews>
  <sheetFormatPr defaultColWidth="8.875" defaultRowHeight="16.5" x14ac:dyDescent="0.3"/>
  <cols>
    <col min="1" max="2" width="26" customWidth="1"/>
    <col min="3" max="3" width="17" customWidth="1"/>
    <col min="4" max="5" width="26" customWidth="1"/>
    <col min="6" max="6" width="17" customWidth="1"/>
    <col min="7" max="7" width="26.25" style="9" customWidth="1"/>
    <col min="13" max="13" width="14.625" customWidth="1"/>
    <col min="14" max="14" width="26.125" customWidth="1"/>
  </cols>
  <sheetData>
    <row r="1" spans="1:6" ht="47.25" customHeight="1" x14ac:dyDescent="0.3">
      <c r="A1" s="718" t="s">
        <v>403</v>
      </c>
      <c r="B1" s="718"/>
      <c r="C1" s="718"/>
      <c r="D1" s="718"/>
      <c r="E1" s="718"/>
      <c r="F1" s="718"/>
    </row>
    <row r="2" spans="1:6" ht="23.25" customHeight="1" x14ac:dyDescent="0.3"/>
    <row r="3" spans="1:6" ht="23.25" customHeight="1" thickBot="1" x14ac:dyDescent="0.35">
      <c r="A3" s="719"/>
      <c r="B3" s="719"/>
      <c r="C3" s="10"/>
      <c r="D3" s="10"/>
      <c r="E3" s="11"/>
      <c r="F3" s="12" t="s">
        <v>95</v>
      </c>
    </row>
    <row r="4" spans="1:6" ht="51" customHeight="1" x14ac:dyDescent="0.3">
      <c r="A4" s="720" t="s">
        <v>84</v>
      </c>
      <c r="B4" s="721"/>
      <c r="C4" s="721"/>
      <c r="D4" s="722" t="s">
        <v>83</v>
      </c>
      <c r="E4" s="721"/>
      <c r="F4" s="723"/>
    </row>
    <row r="5" spans="1:6" ht="51" customHeight="1" x14ac:dyDescent="0.3">
      <c r="A5" s="183" t="s">
        <v>89</v>
      </c>
      <c r="B5" s="13" t="s">
        <v>86</v>
      </c>
      <c r="C5" s="13" t="s">
        <v>170</v>
      </c>
      <c r="D5" s="13" t="s">
        <v>87</v>
      </c>
      <c r="E5" s="13" t="s">
        <v>86</v>
      </c>
      <c r="F5" s="184" t="s">
        <v>170</v>
      </c>
    </row>
    <row r="6" spans="1:6" ht="51" customHeight="1" thickBot="1" x14ac:dyDescent="0.35">
      <c r="A6" s="185" t="s">
        <v>159</v>
      </c>
      <c r="B6" s="70">
        <f>B7+B8+B9+B10+B11</f>
        <v>390118.86499999999</v>
      </c>
      <c r="C6" s="71">
        <f>SUM(C7:C11)</f>
        <v>1</v>
      </c>
      <c r="D6" s="72" t="s">
        <v>159</v>
      </c>
      <c r="E6" s="70">
        <f>E7+E8+E9+E10+E12+E11</f>
        <v>390118.86499999999</v>
      </c>
      <c r="F6" s="186">
        <f>SUM(F7:F12)</f>
        <v>1</v>
      </c>
    </row>
    <row r="7" spans="1:6" ht="51" customHeight="1" thickTop="1" x14ac:dyDescent="0.3">
      <c r="A7" s="187" t="s">
        <v>117</v>
      </c>
      <c r="B7" s="15">
        <f>예산총괄표!E6</f>
        <v>74600</v>
      </c>
      <c r="C7" s="16">
        <f>B7/B6</f>
        <v>0.19122376970926541</v>
      </c>
      <c r="D7" s="17" t="s">
        <v>142</v>
      </c>
      <c r="E7" s="15">
        <f>예산총괄표!L6</f>
        <v>133574.32</v>
      </c>
      <c r="F7" s="188">
        <f>E7/E6</f>
        <v>0.34239390089479527</v>
      </c>
    </row>
    <row r="8" spans="1:6" ht="51" customHeight="1" x14ac:dyDescent="0.3">
      <c r="A8" s="187" t="s">
        <v>115</v>
      </c>
      <c r="B8" s="15">
        <f>예산총괄표!E11</f>
        <v>93500</v>
      </c>
      <c r="C8" s="16">
        <f>B8/B6</f>
        <v>0.23967054246402569</v>
      </c>
      <c r="D8" s="14" t="s">
        <v>140</v>
      </c>
      <c r="E8" s="15">
        <f>예산총괄표!L22</f>
        <v>2000</v>
      </c>
      <c r="F8" s="188">
        <f>E8/E6</f>
        <v>5.1266426195513519E-3</v>
      </c>
    </row>
    <row r="9" spans="1:6" ht="51" customHeight="1" x14ac:dyDescent="0.3">
      <c r="A9" s="189" t="s">
        <v>71</v>
      </c>
      <c r="B9" s="18">
        <f>예산총괄표!E15</f>
        <v>31500</v>
      </c>
      <c r="C9" s="16">
        <f>B9/B6</f>
        <v>8.0744621257933788E-2</v>
      </c>
      <c r="D9" s="14" t="s">
        <v>135</v>
      </c>
      <c r="E9" s="15">
        <f>예산총괄표!L25</f>
        <v>45805.64</v>
      </c>
      <c r="F9" s="188">
        <f>E9/E6</f>
        <v>0.11741457311991309</v>
      </c>
    </row>
    <row r="10" spans="1:6" ht="51" customHeight="1" x14ac:dyDescent="0.3">
      <c r="A10" s="189" t="s">
        <v>61</v>
      </c>
      <c r="B10" s="18">
        <f>예산총괄표!E18</f>
        <v>189958.86499999999</v>
      </c>
      <c r="C10" s="16">
        <f>B10/B6</f>
        <v>0.48692560663530077</v>
      </c>
      <c r="D10" s="14" t="s">
        <v>203</v>
      </c>
      <c r="E10" s="15">
        <f>예산총괄표!L38+예산총괄표!L40</f>
        <v>2100</v>
      </c>
      <c r="F10" s="188">
        <f>E10/E6</f>
        <v>5.382974750528919E-3</v>
      </c>
    </row>
    <row r="11" spans="1:6" ht="51" customHeight="1" x14ac:dyDescent="0.3">
      <c r="A11" s="531" t="s">
        <v>56</v>
      </c>
      <c r="B11" s="535">
        <f>예산총괄표!E21</f>
        <v>560</v>
      </c>
      <c r="C11" s="532">
        <f>B11/B6</f>
        <v>1.4354599334743783E-3</v>
      </c>
      <c r="D11" s="533" t="s">
        <v>308</v>
      </c>
      <c r="E11" s="15">
        <f>예산총괄표!L42</f>
        <v>20000</v>
      </c>
      <c r="F11" s="188">
        <f>E11/E6</f>
        <v>5.1266426195513512E-2</v>
      </c>
    </row>
    <row r="12" spans="1:6" ht="51" customHeight="1" thickBot="1" x14ac:dyDescent="0.35">
      <c r="A12" s="190"/>
      <c r="B12" s="534"/>
      <c r="C12" s="536"/>
      <c r="D12" s="192" t="s">
        <v>190</v>
      </c>
      <c r="E12" s="191">
        <f>예산총괄표!L44</f>
        <v>186638.905</v>
      </c>
      <c r="F12" s="193">
        <f>E12/E6</f>
        <v>0.47841548241969789</v>
      </c>
    </row>
    <row r="14" spans="1:6" x14ac:dyDescent="0.3">
      <c r="A14" s="6"/>
    </row>
    <row r="15" spans="1:6" x14ac:dyDescent="0.3">
      <c r="A15" s="6"/>
    </row>
    <row r="16" spans="1:6" x14ac:dyDescent="0.3">
      <c r="A16" s="6"/>
    </row>
    <row r="17" spans="1:14" x14ac:dyDescent="0.3">
      <c r="A17" s="6"/>
    </row>
    <row r="18" spans="1:14" x14ac:dyDescent="0.3">
      <c r="A18" s="6"/>
    </row>
    <row r="19" spans="1:14" x14ac:dyDescent="0.3">
      <c r="A19" s="6"/>
    </row>
    <row r="20" spans="1:14" x14ac:dyDescent="0.3">
      <c r="H20" s="57"/>
    </row>
    <row r="29" spans="1:14" x14ac:dyDescent="0.3">
      <c r="A29" s="61"/>
      <c r="B29" s="62"/>
      <c r="C29" s="62"/>
      <c r="D29" s="62"/>
      <c r="E29" s="62"/>
      <c r="F29" s="62"/>
      <c r="G29" s="60"/>
      <c r="H29" s="62"/>
      <c r="I29" s="62"/>
      <c r="J29" s="62"/>
      <c r="K29" s="62"/>
      <c r="L29" s="62"/>
      <c r="M29" s="62"/>
      <c r="N29" s="63"/>
    </row>
    <row r="30" spans="1:14" x14ac:dyDescent="0.3">
      <c r="A30" s="64"/>
      <c r="B30" s="65"/>
      <c r="C30" s="65"/>
      <c r="D30" s="65"/>
      <c r="E30" s="65"/>
      <c r="F30" s="65"/>
      <c r="G30" s="58"/>
      <c r="H30" s="65"/>
      <c r="I30" s="65"/>
      <c r="J30" s="65"/>
      <c r="K30" s="65"/>
      <c r="L30" s="65"/>
      <c r="M30" s="65"/>
      <c r="N30" s="66"/>
    </row>
    <row r="31" spans="1:14" x14ac:dyDescent="0.3">
      <c r="A31" s="64"/>
      <c r="B31" s="65"/>
      <c r="C31" s="65"/>
      <c r="D31" s="65"/>
      <c r="E31" s="65"/>
      <c r="F31" s="65"/>
      <c r="G31" s="58"/>
      <c r="H31" s="65"/>
      <c r="I31" s="65"/>
      <c r="J31" s="65"/>
      <c r="K31" s="65"/>
      <c r="L31" s="65"/>
      <c r="M31" s="65"/>
      <c r="N31" s="66"/>
    </row>
    <row r="32" spans="1:14" x14ac:dyDescent="0.3">
      <c r="A32" s="64"/>
      <c r="B32" s="65"/>
      <c r="C32" s="65"/>
      <c r="D32" s="65"/>
      <c r="E32" s="65"/>
      <c r="F32" s="65"/>
      <c r="G32" s="58"/>
      <c r="H32" s="65"/>
      <c r="I32" s="65"/>
      <c r="J32" s="65"/>
      <c r="K32" s="65"/>
      <c r="L32" s="65"/>
      <c r="M32" s="65"/>
      <c r="N32" s="66"/>
    </row>
    <row r="33" spans="1:14" x14ac:dyDescent="0.3">
      <c r="A33" s="64"/>
      <c r="B33" s="65"/>
      <c r="C33" s="65"/>
      <c r="D33" s="65"/>
      <c r="E33" s="65"/>
      <c r="F33" s="65"/>
      <c r="G33" s="58"/>
      <c r="H33" s="65"/>
      <c r="I33" s="65"/>
      <c r="J33" s="65"/>
      <c r="K33" s="65"/>
      <c r="L33" s="65"/>
      <c r="M33" s="65"/>
      <c r="N33" s="66"/>
    </row>
    <row r="34" spans="1:14" x14ac:dyDescent="0.3">
      <c r="A34" s="64"/>
      <c r="B34" s="65"/>
      <c r="C34" s="65"/>
      <c r="D34" s="65"/>
      <c r="E34" s="65"/>
      <c r="F34" s="65"/>
      <c r="G34" s="58"/>
      <c r="H34" s="65"/>
      <c r="I34" s="65"/>
      <c r="J34" s="65"/>
      <c r="K34" s="65"/>
      <c r="L34" s="65"/>
      <c r="M34" s="65"/>
      <c r="N34" s="66"/>
    </row>
    <row r="35" spans="1:14" x14ac:dyDescent="0.3">
      <c r="A35" s="64"/>
      <c r="B35" s="65"/>
      <c r="C35" s="65"/>
      <c r="D35" s="65"/>
      <c r="E35" s="65"/>
      <c r="F35" s="65"/>
      <c r="G35" s="58"/>
      <c r="H35" s="65"/>
      <c r="I35" s="65"/>
      <c r="J35" s="65"/>
      <c r="K35" s="65"/>
      <c r="L35" s="65"/>
      <c r="M35" s="65"/>
      <c r="N35" s="66"/>
    </row>
    <row r="36" spans="1:14" x14ac:dyDescent="0.3">
      <c r="A36" s="64"/>
      <c r="B36" s="65"/>
      <c r="C36" s="65"/>
      <c r="D36" s="65"/>
      <c r="E36" s="65"/>
      <c r="F36" s="65"/>
      <c r="G36" s="58"/>
      <c r="H36" s="65"/>
      <c r="I36" s="65"/>
      <c r="J36" s="65"/>
      <c r="K36" s="65"/>
      <c r="L36" s="65"/>
      <c r="M36" s="65"/>
      <c r="N36" s="66"/>
    </row>
    <row r="37" spans="1:14" x14ac:dyDescent="0.3">
      <c r="A37" s="64"/>
      <c r="B37" s="65"/>
      <c r="C37" s="65"/>
      <c r="D37" s="65"/>
      <c r="E37" s="65"/>
      <c r="F37" s="65"/>
      <c r="G37" s="58"/>
      <c r="H37" s="65"/>
      <c r="I37" s="65"/>
      <c r="J37" s="65"/>
      <c r="K37" s="65"/>
      <c r="L37" s="65"/>
      <c r="M37" s="65"/>
      <c r="N37" s="66"/>
    </row>
    <row r="38" spans="1:14" x14ac:dyDescent="0.3">
      <c r="A38" s="64"/>
      <c r="B38" s="65"/>
      <c r="C38" s="65"/>
      <c r="D38" s="65"/>
      <c r="E38" s="65"/>
      <c r="F38" s="65"/>
      <c r="G38" s="58"/>
      <c r="H38" s="65"/>
      <c r="I38" s="65"/>
      <c r="J38" s="65"/>
      <c r="K38" s="65"/>
      <c r="L38" s="65"/>
      <c r="M38" s="65"/>
      <c r="N38" s="66"/>
    </row>
    <row r="39" spans="1:14" x14ac:dyDescent="0.3">
      <c r="A39" s="64"/>
      <c r="B39" s="65"/>
      <c r="C39" s="65"/>
      <c r="D39" s="65"/>
      <c r="E39" s="65"/>
      <c r="F39" s="65"/>
      <c r="G39" s="58"/>
      <c r="H39" s="65"/>
      <c r="I39" s="65"/>
      <c r="J39" s="65"/>
      <c r="K39" s="65"/>
      <c r="L39" s="65"/>
      <c r="M39" s="65"/>
      <c r="N39" s="66"/>
    </row>
    <row r="40" spans="1:14" x14ac:dyDescent="0.3">
      <c r="A40" s="64"/>
      <c r="B40" s="65"/>
      <c r="C40" s="65"/>
      <c r="D40" s="65"/>
      <c r="E40" s="65"/>
      <c r="F40" s="65"/>
      <c r="G40" s="58"/>
      <c r="H40" s="65"/>
      <c r="I40" s="65"/>
      <c r="J40" s="65"/>
      <c r="K40" s="65"/>
      <c r="L40" s="65"/>
      <c r="M40" s="65"/>
      <c r="N40" s="66"/>
    </row>
    <row r="41" spans="1:14" x14ac:dyDescent="0.3">
      <c r="A41" s="64"/>
      <c r="B41" s="65"/>
      <c r="C41" s="65"/>
      <c r="D41" s="65"/>
      <c r="E41" s="65"/>
      <c r="F41" s="65"/>
      <c r="G41" s="58"/>
      <c r="H41" s="65"/>
      <c r="I41" s="65"/>
      <c r="J41" s="65"/>
      <c r="K41" s="65"/>
      <c r="L41" s="65"/>
      <c r="M41" s="65"/>
      <c r="N41" s="66"/>
    </row>
    <row r="42" spans="1:14" x14ac:dyDescent="0.3">
      <c r="A42" s="64"/>
      <c r="B42" s="65"/>
      <c r="C42" s="65"/>
      <c r="D42" s="65"/>
      <c r="E42" s="65"/>
      <c r="F42" s="65"/>
      <c r="G42" s="58"/>
      <c r="H42" s="65"/>
      <c r="I42" s="65"/>
      <c r="J42" s="65"/>
      <c r="K42" s="65"/>
      <c r="L42" s="65"/>
      <c r="M42" s="65"/>
      <c r="N42" s="66"/>
    </row>
    <row r="43" spans="1:14" x14ac:dyDescent="0.3">
      <c r="A43" s="64"/>
      <c r="B43" s="65"/>
      <c r="C43" s="65"/>
      <c r="D43" s="65"/>
      <c r="E43" s="65"/>
      <c r="F43" s="65"/>
      <c r="G43" s="58"/>
      <c r="H43" s="65"/>
      <c r="I43" s="65"/>
      <c r="J43" s="65"/>
      <c r="K43" s="65"/>
      <c r="L43" s="65"/>
      <c r="M43" s="65"/>
      <c r="N43" s="66"/>
    </row>
    <row r="44" spans="1:14" x14ac:dyDescent="0.3">
      <c r="A44" s="64"/>
      <c r="B44" s="65"/>
      <c r="C44" s="65"/>
      <c r="D44" s="65"/>
      <c r="E44" s="65"/>
      <c r="F44" s="65"/>
      <c r="G44" s="58"/>
      <c r="H44" s="65"/>
      <c r="I44" s="65"/>
      <c r="J44" s="65"/>
      <c r="K44" s="65"/>
      <c r="L44" s="65"/>
      <c r="M44" s="65"/>
      <c r="N44" s="66"/>
    </row>
    <row r="45" spans="1:14" x14ac:dyDescent="0.3">
      <c r="A45" s="64"/>
      <c r="B45" s="65"/>
      <c r="C45" s="65"/>
      <c r="D45" s="65"/>
      <c r="E45" s="65"/>
      <c r="F45" s="65"/>
      <c r="G45" s="58"/>
      <c r="H45" s="65"/>
      <c r="I45" s="65"/>
      <c r="J45" s="65"/>
      <c r="K45" s="65"/>
      <c r="L45" s="65"/>
      <c r="M45" s="65"/>
      <c r="N45" s="66"/>
    </row>
    <row r="46" spans="1:14" x14ac:dyDescent="0.3">
      <c r="A46" s="64"/>
      <c r="B46" s="65"/>
      <c r="C46" s="65"/>
      <c r="D46" s="65"/>
      <c r="E46" s="65"/>
      <c r="F46" s="65"/>
      <c r="G46" s="58"/>
      <c r="H46" s="65"/>
      <c r="I46" s="65"/>
      <c r="J46" s="65"/>
      <c r="K46" s="65"/>
      <c r="L46" s="65"/>
      <c r="M46" s="65"/>
      <c r="N46" s="66"/>
    </row>
    <row r="47" spans="1:14" x14ac:dyDescent="0.3">
      <c r="A47" s="64"/>
      <c r="B47" s="65"/>
      <c r="C47" s="65"/>
      <c r="D47" s="65"/>
      <c r="E47" s="65"/>
      <c r="F47" s="65"/>
      <c r="G47" s="58"/>
      <c r="H47" s="65"/>
      <c r="I47" s="65"/>
      <c r="J47" s="65"/>
      <c r="K47" s="65"/>
      <c r="L47" s="65"/>
      <c r="M47" s="65"/>
      <c r="N47" s="66"/>
    </row>
    <row r="48" spans="1:14" x14ac:dyDescent="0.3">
      <c r="A48" s="64"/>
      <c r="B48" s="65"/>
      <c r="C48" s="65"/>
      <c r="D48" s="65"/>
      <c r="E48" s="65"/>
      <c r="F48" s="65"/>
      <c r="G48" s="58"/>
      <c r="H48" s="65"/>
      <c r="I48" s="65"/>
      <c r="J48" s="65"/>
      <c r="K48" s="65"/>
      <c r="L48" s="65"/>
      <c r="M48" s="65"/>
      <c r="N48" s="66"/>
    </row>
    <row r="49" spans="1:14" x14ac:dyDescent="0.3">
      <c r="A49" s="64"/>
      <c r="B49" s="65"/>
      <c r="C49" s="65"/>
      <c r="D49" s="65"/>
      <c r="E49" s="65"/>
      <c r="F49" s="65"/>
      <c r="G49" s="58"/>
      <c r="H49" s="65"/>
      <c r="I49" s="65"/>
      <c r="J49" s="65"/>
      <c r="K49" s="65"/>
      <c r="L49" s="65"/>
      <c r="M49" s="65"/>
      <c r="N49" s="66"/>
    </row>
    <row r="50" spans="1:14" x14ac:dyDescent="0.3">
      <c r="A50" s="64"/>
      <c r="B50" s="65"/>
      <c r="C50" s="65"/>
      <c r="D50" s="65"/>
      <c r="E50" s="65"/>
      <c r="F50" s="65"/>
      <c r="G50" s="58"/>
      <c r="H50" s="65"/>
      <c r="I50" s="65"/>
      <c r="J50" s="65"/>
      <c r="K50" s="65"/>
      <c r="L50" s="65"/>
      <c r="M50" s="65"/>
      <c r="N50" s="66"/>
    </row>
    <row r="51" spans="1:14" x14ac:dyDescent="0.3">
      <c r="A51" s="64"/>
      <c r="B51" s="65"/>
      <c r="C51" s="65"/>
      <c r="D51" s="65"/>
      <c r="E51" s="65"/>
      <c r="F51" s="65"/>
      <c r="G51" s="58"/>
      <c r="H51" s="65"/>
      <c r="I51" s="65"/>
      <c r="J51" s="65"/>
      <c r="K51" s="65"/>
      <c r="L51" s="65"/>
      <c r="M51" s="65"/>
      <c r="N51" s="66"/>
    </row>
    <row r="52" spans="1:14" x14ac:dyDescent="0.3">
      <c r="A52" s="64"/>
      <c r="B52" s="65"/>
      <c r="C52" s="65"/>
      <c r="D52" s="65"/>
      <c r="E52" s="65"/>
      <c r="F52" s="65"/>
      <c r="G52" s="58"/>
      <c r="H52" s="65"/>
      <c r="I52" s="65"/>
      <c r="J52" s="65"/>
      <c r="K52" s="65"/>
      <c r="L52" s="65"/>
      <c r="M52" s="65"/>
      <c r="N52" s="66"/>
    </row>
    <row r="53" spans="1:14" x14ac:dyDescent="0.3">
      <c r="A53" s="67"/>
      <c r="B53" s="68"/>
      <c r="C53" s="68"/>
      <c r="D53" s="68"/>
      <c r="E53" s="68"/>
      <c r="F53" s="68"/>
      <c r="G53" s="59"/>
      <c r="H53" s="68"/>
      <c r="I53" s="68"/>
      <c r="J53" s="68"/>
      <c r="K53" s="68"/>
      <c r="L53" s="68"/>
      <c r="M53" s="68"/>
      <c r="N53" s="69"/>
    </row>
    <row r="55" spans="1:14" x14ac:dyDescent="0.3">
      <c r="A55" s="61"/>
      <c r="B55" s="62"/>
      <c r="C55" s="62"/>
      <c r="D55" s="62"/>
      <c r="E55" s="62"/>
      <c r="F55" s="62"/>
      <c r="G55" s="60"/>
      <c r="H55" s="62"/>
      <c r="I55" s="62"/>
      <c r="J55" s="62"/>
      <c r="K55" s="62"/>
      <c r="L55" s="62"/>
      <c r="M55" s="62"/>
      <c r="N55" s="63"/>
    </row>
    <row r="56" spans="1:14" x14ac:dyDescent="0.3">
      <c r="A56" s="64"/>
      <c r="B56" s="65"/>
      <c r="C56" s="65"/>
      <c r="D56" s="65"/>
      <c r="E56" s="65"/>
      <c r="F56" s="65"/>
      <c r="G56" s="58"/>
      <c r="H56" s="65"/>
      <c r="I56" s="65"/>
      <c r="J56" s="65"/>
      <c r="K56" s="65"/>
      <c r="L56" s="65"/>
      <c r="M56" s="65"/>
      <c r="N56" s="66"/>
    </row>
    <row r="57" spans="1:14" x14ac:dyDescent="0.3">
      <c r="A57" s="64"/>
      <c r="B57" s="65"/>
      <c r="C57" s="65"/>
      <c r="D57" s="65"/>
      <c r="E57" s="65"/>
      <c r="F57" s="65"/>
      <c r="G57" s="58"/>
      <c r="H57" s="65"/>
      <c r="I57" s="65"/>
      <c r="J57" s="65"/>
      <c r="K57" s="65"/>
      <c r="L57" s="65"/>
      <c r="M57" s="65"/>
      <c r="N57" s="66"/>
    </row>
    <row r="58" spans="1:14" x14ac:dyDescent="0.3">
      <c r="A58" s="64"/>
      <c r="B58" s="65"/>
      <c r="C58" s="65"/>
      <c r="D58" s="65"/>
      <c r="E58" s="65"/>
      <c r="F58" s="65"/>
      <c r="G58" s="58"/>
      <c r="H58" s="65"/>
      <c r="I58" s="65"/>
      <c r="J58" s="65"/>
      <c r="K58" s="65"/>
      <c r="L58" s="65"/>
      <c r="M58" s="65"/>
      <c r="N58" s="66"/>
    </row>
    <row r="59" spans="1:14" x14ac:dyDescent="0.3">
      <c r="A59" s="64"/>
      <c r="B59" s="65"/>
      <c r="C59" s="65"/>
      <c r="D59" s="65"/>
      <c r="E59" s="65"/>
      <c r="F59" s="65"/>
      <c r="G59" s="58"/>
      <c r="H59" s="65"/>
      <c r="I59" s="65"/>
      <c r="J59" s="65"/>
      <c r="K59" s="65"/>
      <c r="L59" s="65"/>
      <c r="M59" s="65"/>
      <c r="N59" s="66"/>
    </row>
    <row r="60" spans="1:14" x14ac:dyDescent="0.3">
      <c r="A60" s="64"/>
      <c r="B60" s="65"/>
      <c r="C60" s="65"/>
      <c r="D60" s="65"/>
      <c r="E60" s="65"/>
      <c r="F60" s="65"/>
      <c r="G60" s="58"/>
      <c r="H60" s="65"/>
      <c r="I60" s="65"/>
      <c r="J60" s="65"/>
      <c r="K60" s="65"/>
      <c r="L60" s="65"/>
      <c r="M60" s="65"/>
      <c r="N60" s="66"/>
    </row>
    <row r="61" spans="1:14" x14ac:dyDescent="0.3">
      <c r="A61" s="64"/>
      <c r="B61" s="65"/>
      <c r="C61" s="65"/>
      <c r="D61" s="65"/>
      <c r="E61" s="65"/>
      <c r="F61" s="65"/>
      <c r="G61" s="58"/>
      <c r="H61" s="65"/>
      <c r="I61" s="65"/>
      <c r="J61" s="65"/>
      <c r="K61" s="65"/>
      <c r="L61" s="65"/>
      <c r="M61" s="65"/>
      <c r="N61" s="66"/>
    </row>
    <row r="62" spans="1:14" x14ac:dyDescent="0.3">
      <c r="A62" s="64"/>
      <c r="B62" s="65"/>
      <c r="C62" s="65"/>
      <c r="D62" s="65"/>
      <c r="E62" s="65"/>
      <c r="F62" s="65"/>
      <c r="G62" s="58"/>
      <c r="H62" s="65"/>
      <c r="I62" s="65"/>
      <c r="J62" s="65"/>
      <c r="K62" s="65"/>
      <c r="L62" s="65"/>
      <c r="M62" s="65"/>
      <c r="N62" s="66"/>
    </row>
    <row r="63" spans="1:14" x14ac:dyDescent="0.3">
      <c r="A63" s="64"/>
      <c r="B63" s="65"/>
      <c r="C63" s="65"/>
      <c r="D63" s="65"/>
      <c r="E63" s="65"/>
      <c r="F63" s="65"/>
      <c r="G63" s="58"/>
      <c r="H63" s="65"/>
      <c r="I63" s="65"/>
      <c r="J63" s="65"/>
      <c r="K63" s="65"/>
      <c r="L63" s="65"/>
      <c r="M63" s="65"/>
      <c r="N63" s="66"/>
    </row>
    <row r="64" spans="1:14" x14ac:dyDescent="0.3">
      <c r="A64" s="64"/>
      <c r="B64" s="65"/>
      <c r="C64" s="65"/>
      <c r="D64" s="65"/>
      <c r="E64" s="65"/>
      <c r="F64" s="65"/>
      <c r="G64" s="58"/>
      <c r="H64" s="65"/>
      <c r="I64" s="65"/>
      <c r="J64" s="65"/>
      <c r="K64" s="65"/>
      <c r="L64" s="65"/>
      <c r="M64" s="65"/>
      <c r="N64" s="66"/>
    </row>
    <row r="65" spans="1:14" x14ac:dyDescent="0.3">
      <c r="A65" s="64"/>
      <c r="B65" s="65"/>
      <c r="C65" s="65"/>
      <c r="D65" s="65"/>
      <c r="E65" s="65"/>
      <c r="F65" s="65"/>
      <c r="G65" s="58"/>
      <c r="H65" s="65"/>
      <c r="I65" s="65"/>
      <c r="J65" s="65"/>
      <c r="K65" s="65"/>
      <c r="L65" s="65"/>
      <c r="M65" s="65"/>
      <c r="N65" s="66"/>
    </row>
    <row r="66" spans="1:14" x14ac:dyDescent="0.3">
      <c r="A66" s="64"/>
      <c r="B66" s="65"/>
      <c r="C66" s="65"/>
      <c r="D66" s="65"/>
      <c r="E66" s="65"/>
      <c r="F66" s="65"/>
      <c r="G66" s="58"/>
      <c r="H66" s="65"/>
      <c r="I66" s="65"/>
      <c r="J66" s="65"/>
      <c r="K66" s="65"/>
      <c r="L66" s="65"/>
      <c r="M66" s="65"/>
      <c r="N66" s="66"/>
    </row>
    <row r="67" spans="1:14" x14ac:dyDescent="0.3">
      <c r="A67" s="64"/>
      <c r="B67" s="65"/>
      <c r="C67" s="65"/>
      <c r="D67" s="65"/>
      <c r="E67" s="65"/>
      <c r="F67" s="65"/>
      <c r="G67" s="58"/>
      <c r="H67" s="65"/>
      <c r="I67" s="65"/>
      <c r="J67" s="65"/>
      <c r="K67" s="65"/>
      <c r="L67" s="65"/>
      <c r="M67" s="65"/>
      <c r="N67" s="66"/>
    </row>
    <row r="68" spans="1:14" x14ac:dyDescent="0.3">
      <c r="A68" s="64"/>
      <c r="B68" s="65"/>
      <c r="C68" s="65"/>
      <c r="D68" s="65"/>
      <c r="E68" s="65"/>
      <c r="F68" s="65"/>
      <c r="G68" s="58"/>
      <c r="H68" s="65"/>
      <c r="I68" s="65"/>
      <c r="J68" s="65"/>
      <c r="K68" s="65"/>
      <c r="L68" s="65"/>
      <c r="M68" s="65"/>
      <c r="N68" s="66"/>
    </row>
    <row r="69" spans="1:14" x14ac:dyDescent="0.3">
      <c r="A69" s="64"/>
      <c r="B69" s="65"/>
      <c r="C69" s="65"/>
      <c r="D69" s="65"/>
      <c r="E69" s="65"/>
      <c r="F69" s="65"/>
      <c r="G69" s="58"/>
      <c r="H69" s="65"/>
      <c r="I69" s="65"/>
      <c r="J69" s="65"/>
      <c r="K69" s="65"/>
      <c r="L69" s="65"/>
      <c r="M69" s="65"/>
      <c r="N69" s="66"/>
    </row>
    <row r="70" spans="1:14" x14ac:dyDescent="0.3">
      <c r="A70" s="64"/>
      <c r="B70" s="65"/>
      <c r="C70" s="65"/>
      <c r="D70" s="65"/>
      <c r="E70" s="65"/>
      <c r="F70" s="65"/>
      <c r="G70" s="58"/>
      <c r="H70" s="65"/>
      <c r="I70" s="65"/>
      <c r="J70" s="65"/>
      <c r="K70" s="65"/>
      <c r="L70" s="65"/>
      <c r="M70" s="65"/>
      <c r="N70" s="66"/>
    </row>
    <row r="71" spans="1:14" x14ac:dyDescent="0.3">
      <c r="A71" s="64"/>
      <c r="B71" s="65"/>
      <c r="C71" s="65"/>
      <c r="D71" s="65"/>
      <c r="E71" s="65"/>
      <c r="F71" s="65"/>
      <c r="G71" s="58"/>
      <c r="H71" s="65"/>
      <c r="I71" s="65"/>
      <c r="J71" s="65"/>
      <c r="K71" s="65"/>
      <c r="L71" s="65"/>
      <c r="M71" s="65"/>
      <c r="N71" s="66"/>
    </row>
    <row r="72" spans="1:14" x14ac:dyDescent="0.3">
      <c r="A72" s="64"/>
      <c r="B72" s="65"/>
      <c r="C72" s="65"/>
      <c r="D72" s="65"/>
      <c r="E72" s="65"/>
      <c r="F72" s="65"/>
      <c r="G72" s="58"/>
      <c r="H72" s="65"/>
      <c r="I72" s="65"/>
      <c r="J72" s="65"/>
      <c r="K72" s="65"/>
      <c r="L72" s="65"/>
      <c r="M72" s="65"/>
      <c r="N72" s="66"/>
    </row>
    <row r="73" spans="1:14" x14ac:dyDescent="0.3">
      <c r="A73" s="64"/>
      <c r="B73" s="65"/>
      <c r="C73" s="65"/>
      <c r="D73" s="65"/>
      <c r="E73" s="65"/>
      <c r="F73" s="65"/>
      <c r="G73" s="58"/>
      <c r="H73" s="65"/>
      <c r="I73" s="65"/>
      <c r="J73" s="65"/>
      <c r="K73" s="65"/>
      <c r="L73" s="65"/>
      <c r="M73" s="65"/>
      <c r="N73" s="66"/>
    </row>
    <row r="74" spans="1:14" x14ac:dyDescent="0.3">
      <c r="A74" s="64"/>
      <c r="B74" s="65"/>
      <c r="C74" s="65"/>
      <c r="D74" s="65"/>
      <c r="E74" s="65"/>
      <c r="F74" s="65"/>
      <c r="G74" s="58"/>
      <c r="H74" s="65"/>
      <c r="I74" s="65"/>
      <c r="J74" s="65"/>
      <c r="K74" s="65"/>
      <c r="L74" s="65"/>
      <c r="M74" s="65"/>
      <c r="N74" s="66"/>
    </row>
    <row r="75" spans="1:14" x14ac:dyDescent="0.3">
      <c r="A75" s="64"/>
      <c r="B75" s="65"/>
      <c r="C75" s="65"/>
      <c r="D75" s="65"/>
      <c r="E75" s="65"/>
      <c r="F75" s="65"/>
      <c r="G75" s="58"/>
      <c r="H75" s="65"/>
      <c r="I75" s="65"/>
      <c r="J75" s="65"/>
      <c r="K75" s="65"/>
      <c r="L75" s="65"/>
      <c r="M75" s="65"/>
      <c r="N75" s="66"/>
    </row>
    <row r="76" spans="1:14" x14ac:dyDescent="0.3">
      <c r="A76" s="64"/>
      <c r="B76" s="65"/>
      <c r="C76" s="65"/>
      <c r="D76" s="65"/>
      <c r="E76" s="65"/>
      <c r="F76" s="65"/>
      <c r="G76" s="58"/>
      <c r="H76" s="65"/>
      <c r="I76" s="65"/>
      <c r="J76" s="65"/>
      <c r="K76" s="65"/>
      <c r="L76" s="65"/>
      <c r="M76" s="65"/>
      <c r="N76" s="66"/>
    </row>
    <row r="77" spans="1:14" x14ac:dyDescent="0.3">
      <c r="A77" s="64"/>
      <c r="B77" s="65"/>
      <c r="C77" s="65"/>
      <c r="D77" s="65"/>
      <c r="E77" s="65"/>
      <c r="F77" s="65"/>
      <c r="G77" s="58"/>
      <c r="H77" s="65"/>
      <c r="I77" s="65"/>
      <c r="J77" s="65"/>
      <c r="K77" s="65"/>
      <c r="L77" s="65"/>
      <c r="M77" s="65"/>
      <c r="N77" s="66"/>
    </row>
    <row r="78" spans="1:14" x14ac:dyDescent="0.3">
      <c r="A78" s="67"/>
      <c r="B78" s="68"/>
      <c r="C78" s="68"/>
      <c r="D78" s="68"/>
      <c r="E78" s="68"/>
      <c r="F78" s="68"/>
      <c r="G78" s="59"/>
      <c r="H78" s="68"/>
      <c r="I78" s="68"/>
      <c r="J78" s="68"/>
      <c r="K78" s="68"/>
      <c r="L78" s="68"/>
      <c r="M78" s="68"/>
      <c r="N78" s="69"/>
    </row>
    <row r="80" spans="1:14" x14ac:dyDescent="0.3">
      <c r="A80" s="61"/>
      <c r="B80" s="62"/>
      <c r="C80" s="62"/>
      <c r="D80" s="62"/>
      <c r="E80" s="62"/>
      <c r="F80" s="62"/>
      <c r="G80" s="60"/>
      <c r="H80" s="62"/>
      <c r="I80" s="62"/>
      <c r="J80" s="62"/>
      <c r="K80" s="62"/>
      <c r="L80" s="62"/>
      <c r="M80" s="62"/>
      <c r="N80" s="63"/>
    </row>
    <row r="81" spans="1:14" x14ac:dyDescent="0.3">
      <c r="A81" s="64"/>
      <c r="B81" s="65"/>
      <c r="C81" s="65"/>
      <c r="D81" s="65"/>
      <c r="E81" s="65"/>
      <c r="F81" s="65"/>
      <c r="G81" s="58"/>
      <c r="H81" s="65"/>
      <c r="I81" s="65"/>
      <c r="J81" s="65"/>
      <c r="K81" s="65"/>
      <c r="L81" s="65"/>
      <c r="M81" s="65"/>
      <c r="N81" s="66"/>
    </row>
    <row r="82" spans="1:14" x14ac:dyDescent="0.3">
      <c r="A82" s="64"/>
      <c r="B82" s="65"/>
      <c r="C82" s="65"/>
      <c r="D82" s="65"/>
      <c r="E82" s="65"/>
      <c r="F82" s="65"/>
      <c r="G82" s="58"/>
      <c r="H82" s="65"/>
      <c r="I82" s="65"/>
      <c r="J82" s="65"/>
      <c r="K82" s="65"/>
      <c r="L82" s="65"/>
      <c r="M82" s="65"/>
      <c r="N82" s="66"/>
    </row>
    <row r="83" spans="1:14" x14ac:dyDescent="0.3">
      <c r="A83" s="64"/>
      <c r="B83" s="65"/>
      <c r="C83" s="65"/>
      <c r="D83" s="65"/>
      <c r="E83" s="65"/>
      <c r="F83" s="65"/>
      <c r="G83" s="58"/>
      <c r="H83" s="65"/>
      <c r="I83" s="65"/>
      <c r="J83" s="65"/>
      <c r="K83" s="65"/>
      <c r="L83" s="65"/>
      <c r="M83" s="65"/>
      <c r="N83" s="66"/>
    </row>
    <row r="84" spans="1:14" x14ac:dyDescent="0.3">
      <c r="A84" s="64"/>
      <c r="B84" s="65"/>
      <c r="C84" s="65"/>
      <c r="D84" s="65"/>
      <c r="E84" s="65"/>
      <c r="F84" s="65"/>
      <c r="G84" s="58"/>
      <c r="H84" s="65"/>
      <c r="I84" s="65"/>
      <c r="J84" s="65"/>
      <c r="K84" s="65"/>
      <c r="L84" s="65"/>
      <c r="M84" s="65"/>
      <c r="N84" s="66"/>
    </row>
    <row r="85" spans="1:14" x14ac:dyDescent="0.3">
      <c r="A85" s="64"/>
      <c r="B85" s="65"/>
      <c r="C85" s="65"/>
      <c r="D85" s="65"/>
      <c r="E85" s="65"/>
      <c r="F85" s="65"/>
      <c r="G85" s="58"/>
      <c r="H85" s="65"/>
      <c r="I85" s="65"/>
      <c r="J85" s="65"/>
      <c r="K85" s="65"/>
      <c r="L85" s="65"/>
      <c r="M85" s="65"/>
      <c r="N85" s="66"/>
    </row>
    <row r="86" spans="1:14" x14ac:dyDescent="0.3">
      <c r="A86" s="64"/>
      <c r="B86" s="65"/>
      <c r="C86" s="65"/>
      <c r="D86" s="65"/>
      <c r="E86" s="65"/>
      <c r="F86" s="65"/>
      <c r="G86" s="58"/>
      <c r="H86" s="65"/>
      <c r="I86" s="65"/>
      <c r="J86" s="65"/>
      <c r="K86" s="65"/>
      <c r="L86" s="65"/>
      <c r="M86" s="65"/>
      <c r="N86" s="66"/>
    </row>
    <row r="87" spans="1:14" x14ac:dyDescent="0.3">
      <c r="A87" s="64"/>
      <c r="B87" s="65"/>
      <c r="C87" s="65"/>
      <c r="D87" s="65"/>
      <c r="E87" s="65"/>
      <c r="F87" s="65"/>
      <c r="G87" s="58"/>
      <c r="H87" s="65"/>
      <c r="I87" s="65"/>
      <c r="J87" s="65"/>
      <c r="K87" s="65"/>
      <c r="L87" s="65"/>
      <c r="M87" s="65"/>
      <c r="N87" s="66"/>
    </row>
    <row r="88" spans="1:14" x14ac:dyDescent="0.3">
      <c r="A88" s="64"/>
      <c r="B88" s="65"/>
      <c r="C88" s="65"/>
      <c r="D88" s="65"/>
      <c r="E88" s="65"/>
      <c r="F88" s="65"/>
      <c r="G88" s="58"/>
      <c r="H88" s="65"/>
      <c r="I88" s="65"/>
      <c r="J88" s="65"/>
      <c r="K88" s="65"/>
      <c r="L88" s="65"/>
      <c r="M88" s="65"/>
      <c r="N88" s="66"/>
    </row>
    <row r="89" spans="1:14" x14ac:dyDescent="0.3">
      <c r="A89" s="64"/>
      <c r="B89" s="65"/>
      <c r="C89" s="65"/>
      <c r="D89" s="65"/>
      <c r="E89" s="65"/>
      <c r="F89" s="65"/>
      <c r="G89" s="58"/>
      <c r="H89" s="65"/>
      <c r="I89" s="65"/>
      <c r="J89" s="65"/>
      <c r="K89" s="65"/>
      <c r="L89" s="65"/>
      <c r="M89" s="65"/>
      <c r="N89" s="66"/>
    </row>
    <row r="90" spans="1:14" x14ac:dyDescent="0.3">
      <c r="A90" s="64"/>
      <c r="B90" s="65"/>
      <c r="C90" s="65"/>
      <c r="D90" s="65"/>
      <c r="E90" s="65"/>
      <c r="F90" s="65"/>
      <c r="G90" s="58"/>
      <c r="H90" s="65"/>
      <c r="I90" s="65"/>
      <c r="J90" s="65"/>
      <c r="K90" s="65"/>
      <c r="L90" s="65"/>
      <c r="M90" s="65"/>
      <c r="N90" s="66"/>
    </row>
    <row r="91" spans="1:14" x14ac:dyDescent="0.3">
      <c r="A91" s="64"/>
      <c r="B91" s="65"/>
      <c r="C91" s="65"/>
      <c r="D91" s="65"/>
      <c r="E91" s="65"/>
      <c r="F91" s="65"/>
      <c r="G91" s="58"/>
      <c r="H91" s="65"/>
      <c r="I91" s="65"/>
      <c r="J91" s="65"/>
      <c r="K91" s="65"/>
      <c r="L91" s="65"/>
      <c r="M91" s="65"/>
      <c r="N91" s="66"/>
    </row>
    <row r="92" spans="1:14" x14ac:dyDescent="0.3">
      <c r="A92" s="64"/>
      <c r="B92" s="65"/>
      <c r="C92" s="65"/>
      <c r="D92" s="65"/>
      <c r="E92" s="65"/>
      <c r="F92" s="65"/>
      <c r="G92" s="58"/>
      <c r="H92" s="65"/>
      <c r="I92" s="65"/>
      <c r="J92" s="65"/>
      <c r="K92" s="65"/>
      <c r="L92" s="65"/>
      <c r="M92" s="65"/>
      <c r="N92" s="66"/>
    </row>
    <row r="93" spans="1:14" x14ac:dyDescent="0.3">
      <c r="A93" s="64"/>
      <c r="B93" s="65"/>
      <c r="C93" s="65"/>
      <c r="D93" s="65"/>
      <c r="E93" s="65"/>
      <c r="F93" s="65"/>
      <c r="G93" s="58"/>
      <c r="H93" s="65"/>
      <c r="I93" s="65"/>
      <c r="J93" s="65"/>
      <c r="K93" s="65"/>
      <c r="L93" s="65"/>
      <c r="M93" s="65"/>
      <c r="N93" s="66"/>
    </row>
    <row r="94" spans="1:14" x14ac:dyDescent="0.3">
      <c r="A94" s="64"/>
      <c r="B94" s="65"/>
      <c r="C94" s="65"/>
      <c r="D94" s="65"/>
      <c r="E94" s="65"/>
      <c r="F94" s="65"/>
      <c r="G94" s="58"/>
      <c r="H94" s="65"/>
      <c r="I94" s="65"/>
      <c r="J94" s="65"/>
      <c r="K94" s="65"/>
      <c r="L94" s="65"/>
      <c r="M94" s="65"/>
      <c r="N94" s="66"/>
    </row>
    <row r="95" spans="1:14" x14ac:dyDescent="0.3">
      <c r="A95" s="64"/>
      <c r="B95" s="65"/>
      <c r="C95" s="65"/>
      <c r="D95" s="65"/>
      <c r="E95" s="65"/>
      <c r="F95" s="65"/>
      <c r="G95" s="58"/>
      <c r="H95" s="65"/>
      <c r="I95" s="65"/>
      <c r="J95" s="65"/>
      <c r="K95" s="65"/>
      <c r="L95" s="65"/>
      <c r="M95" s="65"/>
      <c r="N95" s="66"/>
    </row>
    <row r="96" spans="1:14" x14ac:dyDescent="0.3">
      <c r="A96" s="64"/>
      <c r="B96" s="65"/>
      <c r="C96" s="65"/>
      <c r="D96" s="65"/>
      <c r="E96" s="65"/>
      <c r="F96" s="65"/>
      <c r="G96" s="58"/>
      <c r="H96" s="65"/>
      <c r="I96" s="65"/>
      <c r="J96" s="65"/>
      <c r="K96" s="65"/>
      <c r="L96" s="65"/>
      <c r="M96" s="65"/>
      <c r="N96" s="66"/>
    </row>
    <row r="97" spans="1:14" x14ac:dyDescent="0.3">
      <c r="A97" s="64"/>
      <c r="B97" s="65"/>
      <c r="C97" s="65"/>
      <c r="D97" s="65"/>
      <c r="E97" s="65"/>
      <c r="F97" s="65"/>
      <c r="G97" s="58"/>
      <c r="H97" s="65"/>
      <c r="I97" s="65"/>
      <c r="J97" s="65"/>
      <c r="K97" s="65"/>
      <c r="L97" s="65"/>
      <c r="M97" s="65"/>
      <c r="N97" s="66"/>
    </row>
    <row r="98" spans="1:14" x14ac:dyDescent="0.3">
      <c r="A98" s="64"/>
      <c r="B98" s="65"/>
      <c r="C98" s="65"/>
      <c r="D98" s="65"/>
      <c r="E98" s="65"/>
      <c r="F98" s="65"/>
      <c r="G98" s="58"/>
      <c r="H98" s="65"/>
      <c r="I98" s="65"/>
      <c r="J98" s="65"/>
      <c r="K98" s="65"/>
      <c r="L98" s="65"/>
      <c r="M98" s="65"/>
      <c r="N98" s="66"/>
    </row>
    <row r="99" spans="1:14" x14ac:dyDescent="0.3">
      <c r="A99" s="64"/>
      <c r="B99" s="65"/>
      <c r="C99" s="65"/>
      <c r="D99" s="65"/>
      <c r="E99" s="65"/>
      <c r="F99" s="65"/>
      <c r="G99" s="58"/>
      <c r="H99" s="65"/>
      <c r="I99" s="65"/>
      <c r="J99" s="65"/>
      <c r="K99" s="65"/>
      <c r="L99" s="65"/>
      <c r="M99" s="65"/>
      <c r="N99" s="66"/>
    </row>
    <row r="100" spans="1:14" x14ac:dyDescent="0.3">
      <c r="A100" s="64"/>
      <c r="B100" s="65"/>
      <c r="C100" s="65"/>
      <c r="D100" s="65"/>
      <c r="E100" s="65"/>
      <c r="F100" s="65"/>
      <c r="G100" s="58"/>
      <c r="H100" s="65"/>
      <c r="I100" s="65"/>
      <c r="J100" s="65"/>
      <c r="K100" s="65"/>
      <c r="L100" s="65"/>
      <c r="M100" s="65"/>
      <c r="N100" s="66"/>
    </row>
    <row r="101" spans="1:14" x14ac:dyDescent="0.3">
      <c r="A101" s="64"/>
      <c r="B101" s="65"/>
      <c r="C101" s="65"/>
      <c r="D101" s="65"/>
      <c r="E101" s="65"/>
      <c r="F101" s="65"/>
      <c r="G101" s="58"/>
      <c r="H101" s="65"/>
      <c r="I101" s="65"/>
      <c r="J101" s="65"/>
      <c r="K101" s="65"/>
      <c r="L101" s="65"/>
      <c r="M101" s="65"/>
      <c r="N101" s="66"/>
    </row>
    <row r="102" spans="1:14" x14ac:dyDescent="0.3">
      <c r="A102" s="64"/>
      <c r="B102" s="65"/>
      <c r="C102" s="65"/>
      <c r="D102" s="65"/>
      <c r="E102" s="65"/>
      <c r="F102" s="65"/>
      <c r="G102" s="58"/>
      <c r="H102" s="65"/>
      <c r="I102" s="65"/>
      <c r="J102" s="65"/>
      <c r="K102" s="65"/>
      <c r="L102" s="65"/>
      <c r="M102" s="65"/>
      <c r="N102" s="66"/>
    </row>
    <row r="103" spans="1:14" x14ac:dyDescent="0.3">
      <c r="A103" s="64"/>
      <c r="B103" s="65"/>
      <c r="C103" s="65"/>
      <c r="D103" s="65"/>
      <c r="E103" s="65"/>
      <c r="F103" s="65"/>
      <c r="G103" s="58"/>
      <c r="H103" s="65"/>
      <c r="I103" s="65"/>
      <c r="J103" s="65"/>
      <c r="K103" s="65"/>
      <c r="L103" s="65"/>
      <c r="M103" s="65"/>
      <c r="N103" s="66"/>
    </row>
    <row r="104" spans="1:14" x14ac:dyDescent="0.3">
      <c r="A104" s="64"/>
      <c r="B104" s="65"/>
      <c r="C104" s="65"/>
      <c r="D104" s="65"/>
      <c r="E104" s="65"/>
      <c r="F104" s="65"/>
      <c r="G104" s="58"/>
      <c r="H104" s="65"/>
      <c r="I104" s="65"/>
      <c r="J104" s="65"/>
      <c r="K104" s="65"/>
      <c r="L104" s="65"/>
      <c r="M104" s="65"/>
      <c r="N104" s="66"/>
    </row>
    <row r="105" spans="1:14" x14ac:dyDescent="0.3">
      <c r="A105" s="67"/>
      <c r="B105" s="68"/>
      <c r="C105" s="68"/>
      <c r="D105" s="68"/>
      <c r="E105" s="68"/>
      <c r="F105" s="68"/>
      <c r="G105" s="59"/>
      <c r="H105" s="68"/>
      <c r="I105" s="68"/>
      <c r="J105" s="68"/>
      <c r="K105" s="68"/>
      <c r="L105" s="68"/>
      <c r="M105" s="68"/>
      <c r="N105" s="69"/>
    </row>
  </sheetData>
  <mergeCells count="4">
    <mergeCell ref="A1:F1"/>
    <mergeCell ref="A3:B3"/>
    <mergeCell ref="A4:C4"/>
    <mergeCell ref="D4:F4"/>
  </mergeCells>
  <phoneticPr fontId="15" type="noConversion"/>
  <pageMargins left="0.51181102362204722" right="0.27559055118110237" top="0.74803149606299213" bottom="0.74803149606299213" header="0.31496062992125984" footer="0.31496062992125984"/>
  <pageSetup paperSize="9" scale="87" firstPageNumber="0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24"/>
  <sheetViews>
    <sheetView view="pageBreakPreview" zoomScale="145" zoomScaleNormal="85" zoomScaleSheetLayoutView="145" workbookViewId="0">
      <selection activeCell="A2" sqref="A2:J2"/>
    </sheetView>
  </sheetViews>
  <sheetFormatPr defaultColWidth="9" defaultRowHeight="16.5" x14ac:dyDescent="0.3"/>
  <cols>
    <col min="1" max="1" width="9" style="91"/>
    <col min="2" max="3" width="4.75" style="92" customWidth="1"/>
    <col min="4" max="4" width="11" style="92" customWidth="1"/>
    <col min="5" max="5" width="19.25" style="92" bestFit="1" customWidth="1"/>
    <col min="6" max="7" width="9" style="92"/>
    <col min="8" max="8" width="26.25" style="93" customWidth="1"/>
    <col min="9" max="9" width="16.375" style="92" customWidth="1"/>
    <col min="10" max="10" width="27.625" style="92" customWidth="1"/>
    <col min="11" max="13" width="9" style="94"/>
    <col min="14" max="14" width="26.125" style="94" customWidth="1"/>
    <col min="15" max="16384" width="9" style="94"/>
  </cols>
  <sheetData>
    <row r="1" spans="1:10" ht="9" customHeight="1" x14ac:dyDescent="0.3"/>
    <row r="2" spans="1:10" s="100" customFormat="1" ht="24.75" customHeight="1" x14ac:dyDescent="0.3">
      <c r="A2" s="724" t="s">
        <v>402</v>
      </c>
      <c r="B2" s="725"/>
      <c r="C2" s="725"/>
      <c r="D2" s="725"/>
      <c r="E2" s="725"/>
      <c r="F2" s="725"/>
      <c r="G2" s="725"/>
      <c r="H2" s="725"/>
      <c r="I2" s="725"/>
      <c r="J2" s="726"/>
    </row>
    <row r="3" spans="1:10" s="101" customFormat="1" ht="24.75" customHeight="1" x14ac:dyDescent="0.3">
      <c r="A3" s="727" t="s">
        <v>121</v>
      </c>
      <c r="B3" s="728"/>
      <c r="C3" s="728"/>
      <c r="D3" s="728"/>
      <c r="E3" s="728"/>
      <c r="F3" s="728"/>
      <c r="G3" s="728"/>
      <c r="H3" s="728"/>
      <c r="I3" s="728"/>
      <c r="J3" s="729"/>
    </row>
    <row r="4" spans="1:10" ht="24.75" customHeight="1" x14ac:dyDescent="0.3">
      <c r="A4" s="181" t="s">
        <v>129</v>
      </c>
      <c r="B4" s="180"/>
      <c r="C4" s="180"/>
      <c r="D4" s="180"/>
      <c r="E4" s="180"/>
      <c r="F4" s="180"/>
      <c r="G4" s="180"/>
      <c r="H4" s="95"/>
      <c r="I4" s="180"/>
      <c r="J4" s="182"/>
    </row>
    <row r="5" spans="1:10" ht="24.75" customHeight="1" x14ac:dyDescent="0.3">
      <c r="A5" s="181" t="s">
        <v>57</v>
      </c>
      <c r="B5" s="180"/>
      <c r="C5" s="180"/>
      <c r="D5" s="180"/>
      <c r="E5" s="96">
        <f>세입세출!G8</f>
        <v>58000000</v>
      </c>
      <c r="F5" s="180"/>
      <c r="G5" s="180"/>
      <c r="H5" s="95"/>
      <c r="I5" s="180"/>
      <c r="J5" s="182"/>
    </row>
    <row r="6" spans="1:10" ht="24.75" customHeight="1" x14ac:dyDescent="0.3">
      <c r="A6" s="181" t="s">
        <v>143</v>
      </c>
      <c r="B6" s="180"/>
      <c r="C6" s="180"/>
      <c r="D6" s="180"/>
      <c r="E6" s="96">
        <f>세입세출!G10</f>
        <v>2600000</v>
      </c>
      <c r="F6" s="97"/>
      <c r="G6" s="180"/>
      <c r="H6" s="95"/>
      <c r="I6" s="180"/>
      <c r="J6" s="182"/>
    </row>
    <row r="7" spans="1:10" ht="24.75" customHeight="1" x14ac:dyDescent="0.3">
      <c r="A7" s="181" t="s">
        <v>76</v>
      </c>
      <c r="B7" s="180"/>
      <c r="C7" s="180"/>
      <c r="D7" s="180"/>
      <c r="E7" s="96">
        <f>세입세출!G13</f>
        <v>14000000</v>
      </c>
      <c r="F7" s="180"/>
      <c r="G7" s="180"/>
      <c r="H7" s="95"/>
      <c r="I7" s="98"/>
      <c r="J7" s="182"/>
    </row>
    <row r="8" spans="1:10" ht="24.75" customHeight="1" x14ac:dyDescent="0.3">
      <c r="A8" s="181" t="s">
        <v>88</v>
      </c>
      <c r="B8" s="180"/>
      <c r="C8" s="180"/>
      <c r="D8" s="180"/>
      <c r="E8" s="96">
        <f>세입세출!G15</f>
        <v>93500000</v>
      </c>
      <c r="F8" s="180"/>
      <c r="G8" s="180"/>
      <c r="H8" s="95"/>
      <c r="I8" s="98"/>
      <c r="J8" s="182"/>
    </row>
    <row r="9" spans="1:10" ht="24.75" customHeight="1" x14ac:dyDescent="0.3">
      <c r="A9" s="181" t="s">
        <v>177</v>
      </c>
      <c r="B9" s="180"/>
      <c r="C9" s="180"/>
      <c r="D9" s="180"/>
      <c r="E9" s="96">
        <f>세입세출!G23</f>
        <v>31500000</v>
      </c>
      <c r="F9" s="180"/>
      <c r="G9" s="180"/>
      <c r="H9" s="95"/>
      <c r="I9" s="98"/>
      <c r="J9" s="182"/>
    </row>
    <row r="10" spans="1:10" ht="24.75" customHeight="1" x14ac:dyDescent="0.3">
      <c r="A10" s="181" t="s">
        <v>92</v>
      </c>
      <c r="B10" s="180"/>
      <c r="C10" s="180"/>
      <c r="D10" s="180"/>
      <c r="E10" s="96">
        <f>세입세출!G29</f>
        <v>189958865</v>
      </c>
      <c r="F10" s="180"/>
      <c r="G10" s="180"/>
      <c r="H10" s="95"/>
      <c r="I10" s="180"/>
      <c r="J10" s="182"/>
    </row>
    <row r="11" spans="1:10" ht="24.75" customHeight="1" x14ac:dyDescent="0.3">
      <c r="A11" s="181" t="s">
        <v>1</v>
      </c>
      <c r="B11" s="180"/>
      <c r="C11" s="180"/>
      <c r="D11" s="180"/>
      <c r="E11" s="96">
        <f>세입세출!G36</f>
        <v>560000</v>
      </c>
      <c r="F11" s="180"/>
      <c r="G11" s="180"/>
      <c r="H11" s="95"/>
      <c r="I11" s="180"/>
      <c r="J11" s="182"/>
    </row>
    <row r="12" spans="1:10" ht="24.75" customHeight="1" x14ac:dyDescent="0.3">
      <c r="A12" s="181" t="s">
        <v>3</v>
      </c>
      <c r="B12" s="180"/>
      <c r="C12" s="180"/>
      <c r="D12" s="180"/>
      <c r="E12" s="96"/>
      <c r="F12" s="180"/>
      <c r="G12" s="180"/>
      <c r="H12" s="95"/>
      <c r="I12" s="180"/>
      <c r="J12" s="182"/>
    </row>
    <row r="13" spans="1:10" s="102" customFormat="1" ht="24.75" customHeight="1" x14ac:dyDescent="0.3">
      <c r="A13" s="181" t="s">
        <v>130</v>
      </c>
      <c r="B13" s="180"/>
      <c r="C13" s="180"/>
      <c r="D13" s="180"/>
      <c r="E13" s="96">
        <f>세입세출!M46</f>
        <v>114437520</v>
      </c>
      <c r="F13" s="180"/>
      <c r="G13" s="180"/>
      <c r="H13" s="95"/>
      <c r="I13" s="180"/>
      <c r="J13" s="182"/>
    </row>
    <row r="14" spans="1:10" ht="24.75" customHeight="1" x14ac:dyDescent="0.3">
      <c r="A14" s="181" t="s">
        <v>141</v>
      </c>
      <c r="B14" s="180"/>
      <c r="C14" s="180"/>
      <c r="D14" s="180"/>
      <c r="E14" s="96">
        <f>세입세출!M78</f>
        <v>5400000</v>
      </c>
      <c r="F14" s="180"/>
      <c r="G14" s="180"/>
      <c r="H14" s="95"/>
      <c r="I14" s="180"/>
      <c r="J14" s="182"/>
    </row>
    <row r="15" spans="1:10" ht="24.75" customHeight="1" x14ac:dyDescent="0.3">
      <c r="A15" s="181" t="s">
        <v>138</v>
      </c>
      <c r="B15" s="180"/>
      <c r="C15" s="180"/>
      <c r="D15" s="180"/>
      <c r="E15" s="96">
        <f>세입세출!M89</f>
        <v>13736800</v>
      </c>
      <c r="F15" s="180"/>
      <c r="G15" s="180"/>
      <c r="H15" s="95"/>
      <c r="I15" s="180"/>
      <c r="J15" s="182"/>
    </row>
    <row r="16" spans="1:10" ht="24.75" customHeight="1" x14ac:dyDescent="0.3">
      <c r="A16" s="181" t="s">
        <v>90</v>
      </c>
      <c r="B16" s="180"/>
      <c r="C16" s="180"/>
      <c r="D16" s="180"/>
      <c r="E16" s="96">
        <f>세입세출!M116</f>
        <v>2000000</v>
      </c>
      <c r="F16" s="180"/>
      <c r="G16" s="180"/>
      <c r="H16" s="95"/>
      <c r="I16" s="180"/>
      <c r="J16" s="182"/>
    </row>
    <row r="17" spans="1:10" ht="24.75" customHeight="1" x14ac:dyDescent="0.3">
      <c r="A17" s="181" t="s">
        <v>132</v>
      </c>
      <c r="B17" s="180"/>
      <c r="C17" s="180"/>
      <c r="D17" s="180"/>
      <c r="E17" s="96">
        <f>세입세출!M127</f>
        <v>45805640</v>
      </c>
      <c r="F17" s="180"/>
      <c r="G17" s="180"/>
      <c r="H17" s="95"/>
      <c r="I17" s="180"/>
      <c r="J17" s="182"/>
    </row>
    <row r="18" spans="1:10" ht="24.75" customHeight="1" x14ac:dyDescent="0.3">
      <c r="A18" s="266" t="s">
        <v>17</v>
      </c>
      <c r="B18" s="267"/>
      <c r="C18" s="267"/>
      <c r="D18" s="267"/>
      <c r="E18" s="96">
        <f>세입세출!M207</f>
        <v>100000</v>
      </c>
      <c r="F18" s="180"/>
      <c r="G18" s="180"/>
      <c r="H18" s="95"/>
      <c r="I18" s="180"/>
      <c r="J18" s="182"/>
    </row>
    <row r="19" spans="1:10" ht="24.75" customHeight="1" x14ac:dyDescent="0.3">
      <c r="A19" s="265" t="s">
        <v>85</v>
      </c>
      <c r="B19" s="267"/>
      <c r="C19" s="267"/>
      <c r="D19" s="267"/>
      <c r="E19" s="99">
        <f>세입세출!M210</f>
        <v>2000000</v>
      </c>
      <c r="F19" s="180"/>
      <c r="G19" s="180"/>
      <c r="H19" s="95" t="s">
        <v>0</v>
      </c>
      <c r="I19" s="180"/>
      <c r="J19" s="182"/>
    </row>
    <row r="20" spans="1:10" ht="24.75" customHeight="1" x14ac:dyDescent="0.3">
      <c r="A20" s="322" t="s">
        <v>308</v>
      </c>
      <c r="B20" s="267"/>
      <c r="C20" s="267"/>
      <c r="D20" s="267"/>
      <c r="E20" s="99">
        <f>세입세출!M212</f>
        <v>20000000</v>
      </c>
      <c r="F20" s="267"/>
      <c r="G20" s="267"/>
      <c r="H20" s="95"/>
      <c r="I20" s="267"/>
      <c r="J20" s="182"/>
    </row>
    <row r="21" spans="1:10" ht="24.75" customHeight="1" x14ac:dyDescent="0.3">
      <c r="A21" s="322" t="s">
        <v>190</v>
      </c>
      <c r="B21" s="180"/>
      <c r="C21" s="180"/>
      <c r="D21" s="180"/>
      <c r="E21" s="99">
        <f>세입세출!M215</f>
        <v>186638905</v>
      </c>
      <c r="F21" s="180"/>
      <c r="G21" s="180"/>
      <c r="H21" s="95"/>
      <c r="I21" s="98"/>
      <c r="J21" s="182"/>
    </row>
    <row r="22" spans="1:10" s="103" customFormat="1" ht="24.75" customHeight="1" x14ac:dyDescent="0.3">
      <c r="A22" s="730"/>
      <c r="B22" s="731"/>
      <c r="C22" s="731"/>
      <c r="D22" s="731"/>
      <c r="E22" s="731"/>
      <c r="F22" s="731"/>
      <c r="G22" s="731"/>
      <c r="H22" s="731"/>
      <c r="I22" s="731"/>
      <c r="J22" s="732"/>
    </row>
    <row r="23" spans="1:10" s="104" customFormat="1" ht="24.75" customHeight="1" x14ac:dyDescent="0.3">
      <c r="A23" s="733" t="s">
        <v>10</v>
      </c>
      <c r="B23" s="734"/>
      <c r="C23" s="734"/>
      <c r="D23" s="734"/>
      <c r="E23" s="734"/>
      <c r="F23" s="734"/>
      <c r="G23" s="734"/>
      <c r="H23" s="734"/>
      <c r="I23" s="734"/>
      <c r="J23" s="735"/>
    </row>
    <row r="24" spans="1:10" ht="21.95" customHeight="1" x14ac:dyDescent="0.3"/>
  </sheetData>
  <mergeCells count="4">
    <mergeCell ref="A2:J2"/>
    <mergeCell ref="A3:J3"/>
    <mergeCell ref="A22:J22"/>
    <mergeCell ref="A23:J23"/>
  </mergeCells>
  <phoneticPr fontId="15" type="noConversion"/>
  <pageMargins left="0.51181102362204722" right="0.27559055118110237" top="0.86614173228346458" bottom="0.43307086614173229" header="0.43307086614173229" footer="0.31496062992125984"/>
  <pageSetup paperSize="9" scale="89" firstPageNumber="6" orientation="landscape" useFirstPageNumber="1" r:id="rId1"/>
  <headerFooter>
    <oddHeader>&amp;C&amp;"돋움,Regular"&amp;20예 산 총 칙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P64"/>
  <sheetViews>
    <sheetView view="pageBreakPreview" zoomScaleNormal="100" zoomScaleSheetLayoutView="100" workbookViewId="0">
      <selection activeCell="D5" sqref="D5"/>
    </sheetView>
  </sheetViews>
  <sheetFormatPr defaultColWidth="9" defaultRowHeight="16.5" x14ac:dyDescent="0.3"/>
  <cols>
    <col min="1" max="1" width="8.875" style="106" customWidth="1"/>
    <col min="2" max="2" width="10.125" style="106" customWidth="1"/>
    <col min="3" max="3" width="17.5" style="106" bestFit="1" customWidth="1"/>
    <col min="4" max="4" width="11.25" style="74" customWidth="1"/>
    <col min="5" max="5" width="11.5" style="74" customWidth="1"/>
    <col min="6" max="6" width="8" style="274" customWidth="1"/>
    <col min="7" max="7" width="7.375" style="105" bestFit="1" customWidth="1"/>
    <col min="8" max="8" width="8.5" style="106" customWidth="1"/>
    <col min="9" max="9" width="9.5" style="106" customWidth="1"/>
    <col min="10" max="10" width="12.75" style="106" customWidth="1"/>
    <col min="11" max="11" width="11" style="161" customWidth="1"/>
    <col min="12" max="12" width="11.625" style="161" customWidth="1"/>
    <col min="13" max="13" width="8" style="166" bestFit="1" customWidth="1"/>
    <col min="14" max="14" width="9" style="166" customWidth="1"/>
    <col min="15" max="15" width="13" style="1" bestFit="1" customWidth="1"/>
    <col min="16" max="16" width="12.25" style="1" bestFit="1" customWidth="1"/>
    <col min="17" max="16384" width="9" style="1"/>
  </cols>
  <sheetData>
    <row r="1" spans="1:16" ht="17.25" customHeight="1" thickBot="1" x14ac:dyDescent="0.35">
      <c r="A1" s="738" t="s">
        <v>93</v>
      </c>
      <c r="B1" s="738"/>
      <c r="C1" s="738"/>
      <c r="J1" s="107"/>
      <c r="M1" s="739" t="s">
        <v>96</v>
      </c>
      <c r="N1" s="739"/>
    </row>
    <row r="2" spans="1:16" s="2" customFormat="1" ht="16.5" customHeight="1" x14ac:dyDescent="0.3">
      <c r="A2" s="744" t="s">
        <v>7</v>
      </c>
      <c r="B2" s="745"/>
      <c r="C2" s="745"/>
      <c r="D2" s="746"/>
      <c r="E2" s="746"/>
      <c r="F2" s="745"/>
      <c r="G2" s="745"/>
      <c r="H2" s="747" t="s">
        <v>4</v>
      </c>
      <c r="I2" s="747"/>
      <c r="J2" s="747"/>
      <c r="K2" s="747"/>
      <c r="L2" s="747"/>
      <c r="M2" s="747"/>
      <c r="N2" s="748"/>
    </row>
    <row r="3" spans="1:16" s="3" customFormat="1" ht="13.5" customHeight="1" x14ac:dyDescent="0.15">
      <c r="A3" s="740" t="s">
        <v>155</v>
      </c>
      <c r="B3" s="741" t="s">
        <v>150</v>
      </c>
      <c r="C3" s="741" t="s">
        <v>163</v>
      </c>
      <c r="D3" s="672" t="s">
        <v>399</v>
      </c>
      <c r="E3" s="742" t="s">
        <v>401</v>
      </c>
      <c r="F3" s="275" t="s">
        <v>153</v>
      </c>
      <c r="G3" s="108" t="s">
        <v>152</v>
      </c>
      <c r="H3" s="741" t="s">
        <v>155</v>
      </c>
      <c r="I3" s="741" t="s">
        <v>150</v>
      </c>
      <c r="J3" s="741" t="s">
        <v>163</v>
      </c>
      <c r="K3" s="672" t="s">
        <v>399</v>
      </c>
      <c r="L3" s="742" t="s">
        <v>401</v>
      </c>
      <c r="M3" s="167" t="s">
        <v>153</v>
      </c>
      <c r="N3" s="168" t="s">
        <v>152</v>
      </c>
    </row>
    <row r="4" spans="1:16" s="3" customFormat="1" ht="16.5" customHeight="1" x14ac:dyDescent="0.15">
      <c r="A4" s="740"/>
      <c r="B4" s="741"/>
      <c r="C4" s="741"/>
      <c r="D4" s="673" t="s">
        <v>400</v>
      </c>
      <c r="E4" s="743"/>
      <c r="F4" s="275" t="s">
        <v>172</v>
      </c>
      <c r="G4" s="108" t="s">
        <v>19</v>
      </c>
      <c r="H4" s="741"/>
      <c r="I4" s="741"/>
      <c r="J4" s="741"/>
      <c r="K4" s="673" t="s">
        <v>400</v>
      </c>
      <c r="L4" s="743"/>
      <c r="M4" s="167" t="s">
        <v>172</v>
      </c>
      <c r="N4" s="168" t="s">
        <v>19</v>
      </c>
    </row>
    <row r="5" spans="1:16" s="4" customFormat="1" ht="15.95" customHeight="1" x14ac:dyDescent="0.15">
      <c r="A5" s="736" t="s">
        <v>45</v>
      </c>
      <c r="B5" s="737"/>
      <c r="C5" s="737"/>
      <c r="D5" s="89">
        <f>세입세출!D5</f>
        <v>394370.28200000001</v>
      </c>
      <c r="E5" s="89">
        <f>세입세출!E5</f>
        <v>390118.86499999999</v>
      </c>
      <c r="F5" s="162">
        <f>ROUNDUP(E5-D5,0)</f>
        <v>-4252</v>
      </c>
      <c r="G5" s="522">
        <f t="shared" ref="G5:G14" si="0">F5/D5%</f>
        <v>-1.0781745466307728</v>
      </c>
      <c r="H5" s="737" t="s">
        <v>45</v>
      </c>
      <c r="I5" s="737"/>
      <c r="J5" s="737"/>
      <c r="K5" s="162">
        <f>세입세출!D44</f>
        <v>394370.28200000001</v>
      </c>
      <c r="L5" s="162">
        <f>세입세출!E44</f>
        <v>390118.86499999999</v>
      </c>
      <c r="M5" s="165">
        <f>ROUNDUP(L5-K5,0)</f>
        <v>-4252</v>
      </c>
      <c r="N5" s="177">
        <f t="shared" ref="N5:N14" si="1">M5/K5%</f>
        <v>-1.0781745466307728</v>
      </c>
      <c r="O5" s="8"/>
    </row>
    <row r="6" spans="1:16" s="4" customFormat="1" ht="15.95" customHeight="1" x14ac:dyDescent="0.15">
      <c r="A6" s="119" t="s">
        <v>29</v>
      </c>
      <c r="B6" s="108" t="s">
        <v>159</v>
      </c>
      <c r="C6" s="160"/>
      <c r="D6" s="89">
        <f>세입세출!D6</f>
        <v>80615.02</v>
      </c>
      <c r="E6" s="89">
        <f>세입세출!E6</f>
        <v>74600</v>
      </c>
      <c r="F6" s="162">
        <f t="shared" ref="F6:F23" si="2">E6-D6</f>
        <v>-6015.0200000000041</v>
      </c>
      <c r="G6" s="522">
        <f t="shared" si="0"/>
        <v>-7.4614135182252683</v>
      </c>
      <c r="H6" s="111" t="s">
        <v>175</v>
      </c>
      <c r="I6" s="108" t="s">
        <v>159</v>
      </c>
      <c r="J6" s="160"/>
      <c r="K6" s="163">
        <f>세입세출!D45</f>
        <v>128993.49</v>
      </c>
      <c r="L6" s="163">
        <f>세입세출!E45</f>
        <v>133574.32</v>
      </c>
      <c r="M6" s="165">
        <f t="shared" ref="M6:M13" si="3">L6-K6</f>
        <v>4580.8300000000017</v>
      </c>
      <c r="N6" s="177">
        <f t="shared" si="1"/>
        <v>3.5512102199886226</v>
      </c>
    </row>
    <row r="7" spans="1:16" s="4" customFormat="1" ht="15.95" customHeight="1" x14ac:dyDescent="0.15">
      <c r="A7" s="120"/>
      <c r="B7" s="116" t="s">
        <v>29</v>
      </c>
      <c r="C7" s="108" t="s">
        <v>159</v>
      </c>
      <c r="D7" s="89">
        <f>세입세출!D7</f>
        <v>80615.02</v>
      </c>
      <c r="E7" s="89">
        <f>세입세출!E7</f>
        <v>74600</v>
      </c>
      <c r="F7" s="162">
        <f t="shared" si="2"/>
        <v>-6015.0200000000041</v>
      </c>
      <c r="G7" s="522">
        <f t="shared" si="0"/>
        <v>-7.4614135182252683</v>
      </c>
      <c r="H7" s="198"/>
      <c r="I7" s="111" t="s">
        <v>169</v>
      </c>
      <c r="J7" s="90" t="s">
        <v>159</v>
      </c>
      <c r="K7" s="162">
        <f>세입세출!D46</f>
        <v>109796.69</v>
      </c>
      <c r="L7" s="162">
        <f>세입세출!E46</f>
        <v>114437.52</v>
      </c>
      <c r="M7" s="165">
        <f t="shared" si="3"/>
        <v>4640.8300000000017</v>
      </c>
      <c r="N7" s="177">
        <f t="shared" si="1"/>
        <v>4.2267485477021225</v>
      </c>
      <c r="P7" s="7"/>
    </row>
    <row r="8" spans="1:16" s="4" customFormat="1" ht="15.95" customHeight="1" x14ac:dyDescent="0.15">
      <c r="A8" s="120"/>
      <c r="B8" s="117"/>
      <c r="C8" s="108" t="s">
        <v>57</v>
      </c>
      <c r="D8" s="89">
        <f>세입세출!D8</f>
        <v>58015.020000000004</v>
      </c>
      <c r="E8" s="89">
        <f>세입세출!E8</f>
        <v>58000</v>
      </c>
      <c r="F8" s="162">
        <f t="shared" si="2"/>
        <v>-15.020000000004075</v>
      </c>
      <c r="G8" s="522">
        <f t="shared" si="0"/>
        <v>-2.5889847146487364E-2</v>
      </c>
      <c r="H8" s="198"/>
      <c r="I8" s="198"/>
      <c r="J8" s="90" t="s">
        <v>25</v>
      </c>
      <c r="K8" s="163">
        <f>세입세출!D47</f>
        <v>71941.2</v>
      </c>
      <c r="L8" s="163">
        <f>세입세출!E47</f>
        <v>73384.800000000003</v>
      </c>
      <c r="M8" s="165">
        <f t="shared" si="3"/>
        <v>1443.6000000000058</v>
      </c>
      <c r="N8" s="177">
        <f t="shared" si="1"/>
        <v>2.0066387549832445</v>
      </c>
      <c r="O8" s="281"/>
    </row>
    <row r="9" spans="1:16" s="4" customFormat="1" ht="15.95" customHeight="1" x14ac:dyDescent="0.15">
      <c r="A9" s="120"/>
      <c r="B9" s="117"/>
      <c r="C9" s="108" t="s">
        <v>74</v>
      </c>
      <c r="D9" s="89">
        <f>세입세출!D10</f>
        <v>2600</v>
      </c>
      <c r="E9" s="89">
        <f>세입세출!E10</f>
        <v>2600</v>
      </c>
      <c r="F9" s="162">
        <f t="shared" si="2"/>
        <v>0</v>
      </c>
      <c r="G9" s="522">
        <f t="shared" si="0"/>
        <v>0</v>
      </c>
      <c r="H9" s="198"/>
      <c r="I9" s="198"/>
      <c r="J9" s="90" t="s">
        <v>27</v>
      </c>
      <c r="K9" s="162">
        <f>세입세출!D52</f>
        <v>21580.720000000001</v>
      </c>
      <c r="L9" s="162">
        <f>세입세출!E52</f>
        <v>24045.279999999999</v>
      </c>
      <c r="M9" s="165">
        <f t="shared" si="3"/>
        <v>2464.5599999999977</v>
      </c>
      <c r="N9" s="177">
        <f t="shared" si="1"/>
        <v>11.420193580195644</v>
      </c>
    </row>
    <row r="10" spans="1:16" s="4" customFormat="1" ht="15.95" customHeight="1" x14ac:dyDescent="0.15">
      <c r="A10" s="120"/>
      <c r="B10" s="117"/>
      <c r="C10" s="254" t="s">
        <v>76</v>
      </c>
      <c r="D10" s="109">
        <f>세입세출!D13</f>
        <v>20000</v>
      </c>
      <c r="E10" s="109">
        <f>세입세출!E13</f>
        <v>14000</v>
      </c>
      <c r="F10" s="162">
        <f t="shared" si="2"/>
        <v>-6000</v>
      </c>
      <c r="G10" s="523">
        <f t="shared" si="0"/>
        <v>-30</v>
      </c>
      <c r="H10" s="198"/>
      <c r="I10" s="198"/>
      <c r="J10" s="121" t="s">
        <v>91</v>
      </c>
      <c r="K10" s="163">
        <f>세입세출!D62</f>
        <v>5810.16</v>
      </c>
      <c r="L10" s="163">
        <f>세입세출!E62</f>
        <v>6135.84</v>
      </c>
      <c r="M10" s="173">
        <f t="shared" si="3"/>
        <v>325.68000000000029</v>
      </c>
      <c r="N10" s="178">
        <f t="shared" si="1"/>
        <v>5.605353380974023</v>
      </c>
    </row>
    <row r="11" spans="1:16" s="175" customFormat="1" ht="15.95" customHeight="1" x14ac:dyDescent="0.15">
      <c r="A11" s="113" t="s">
        <v>70</v>
      </c>
      <c r="B11" s="108" t="s">
        <v>159</v>
      </c>
      <c r="C11" s="160"/>
      <c r="D11" s="89">
        <f>세입세출!D15</f>
        <v>113500</v>
      </c>
      <c r="E11" s="89">
        <f>세입세출!E15</f>
        <v>93500</v>
      </c>
      <c r="F11" s="162">
        <f t="shared" si="2"/>
        <v>-20000</v>
      </c>
      <c r="G11" s="522">
        <f t="shared" si="0"/>
        <v>-17.621145374449338</v>
      </c>
      <c r="H11" s="198"/>
      <c r="I11" s="198"/>
      <c r="J11" s="90" t="s">
        <v>67</v>
      </c>
      <c r="K11" s="162">
        <f>세입세출!D66</f>
        <v>8864.61</v>
      </c>
      <c r="L11" s="162">
        <f>세입세출!E66</f>
        <v>9271.6</v>
      </c>
      <c r="M11" s="165">
        <f t="shared" si="3"/>
        <v>406.98999999999978</v>
      </c>
      <c r="N11" s="177">
        <f t="shared" si="1"/>
        <v>4.5911777280669961</v>
      </c>
    </row>
    <row r="12" spans="1:16" s="5" customFormat="1" ht="15.95" customHeight="1" x14ac:dyDescent="0.15">
      <c r="A12" s="114"/>
      <c r="B12" s="111" t="s">
        <v>70</v>
      </c>
      <c r="C12" s="90" t="s">
        <v>159</v>
      </c>
      <c r="D12" s="89">
        <f>세입세출!D16</f>
        <v>113500</v>
      </c>
      <c r="E12" s="89">
        <f>세입세출!E16</f>
        <v>93500</v>
      </c>
      <c r="F12" s="162">
        <f t="shared" si="2"/>
        <v>-20000</v>
      </c>
      <c r="G12" s="522">
        <f t="shared" si="0"/>
        <v>-17.621145374449338</v>
      </c>
      <c r="H12" s="198"/>
      <c r="I12" s="112"/>
      <c r="J12" s="90" t="s">
        <v>68</v>
      </c>
      <c r="K12" s="163">
        <f>세입세출!D74</f>
        <v>1600</v>
      </c>
      <c r="L12" s="163">
        <f>세입세출!E74</f>
        <v>1600</v>
      </c>
      <c r="M12" s="165">
        <f t="shared" si="3"/>
        <v>0</v>
      </c>
      <c r="N12" s="177">
        <f t="shared" si="1"/>
        <v>0</v>
      </c>
    </row>
    <row r="13" spans="1:16" s="5" customFormat="1" ht="15.95" customHeight="1" x14ac:dyDescent="0.15">
      <c r="A13" s="114"/>
      <c r="B13" s="117"/>
      <c r="C13" s="90" t="s">
        <v>75</v>
      </c>
      <c r="D13" s="89">
        <f>세입세출!D17</f>
        <v>77500</v>
      </c>
      <c r="E13" s="89">
        <f>세입세출!E17</f>
        <v>57500</v>
      </c>
      <c r="F13" s="162">
        <f t="shared" si="2"/>
        <v>-20000</v>
      </c>
      <c r="G13" s="522">
        <f t="shared" si="0"/>
        <v>-25.806451612903224</v>
      </c>
      <c r="H13" s="198"/>
      <c r="I13" s="111" t="s">
        <v>55</v>
      </c>
      <c r="J13" s="90" t="s">
        <v>159</v>
      </c>
      <c r="K13" s="162">
        <f>세입세출!D78</f>
        <v>5400</v>
      </c>
      <c r="L13" s="162">
        <f>세입세출!E78</f>
        <v>5400</v>
      </c>
      <c r="M13" s="165">
        <f t="shared" si="3"/>
        <v>0</v>
      </c>
      <c r="N13" s="177">
        <f t="shared" si="1"/>
        <v>0</v>
      </c>
    </row>
    <row r="14" spans="1:16" s="5" customFormat="1" ht="15.95" customHeight="1" x14ac:dyDescent="0.15">
      <c r="A14" s="114"/>
      <c r="B14" s="117"/>
      <c r="C14" s="90" t="s">
        <v>65</v>
      </c>
      <c r="D14" s="89">
        <f>세입세출!D21</f>
        <v>36000</v>
      </c>
      <c r="E14" s="89">
        <f>세입세출!E21</f>
        <v>36000</v>
      </c>
      <c r="F14" s="162">
        <f t="shared" si="2"/>
        <v>0</v>
      </c>
      <c r="G14" s="522">
        <f t="shared" si="0"/>
        <v>0</v>
      </c>
      <c r="H14" s="198"/>
      <c r="I14" s="198"/>
      <c r="J14" s="90" t="s">
        <v>31</v>
      </c>
      <c r="K14" s="163">
        <f>세입세출!D79</f>
        <v>4200</v>
      </c>
      <c r="L14" s="163">
        <f>세입세출!E79</f>
        <v>4200</v>
      </c>
      <c r="M14" s="165">
        <v>0</v>
      </c>
      <c r="N14" s="177">
        <f t="shared" si="1"/>
        <v>0</v>
      </c>
    </row>
    <row r="15" spans="1:16" s="5" customFormat="1" ht="15.95" customHeight="1" x14ac:dyDescent="0.15">
      <c r="A15" s="113" t="s">
        <v>177</v>
      </c>
      <c r="B15" s="108" t="s">
        <v>159</v>
      </c>
      <c r="C15" s="160"/>
      <c r="D15" s="89">
        <f>세입세출!D23</f>
        <v>20800</v>
      </c>
      <c r="E15" s="89">
        <f>세입세출!E23</f>
        <v>31500</v>
      </c>
      <c r="F15" s="162">
        <f t="shared" si="2"/>
        <v>10700</v>
      </c>
      <c r="G15" s="522">
        <f t="shared" ref="G15:G23" si="4">F15/D15%</f>
        <v>51.442307692307693</v>
      </c>
      <c r="H15" s="198"/>
      <c r="I15" s="198"/>
      <c r="J15" s="121" t="s">
        <v>165</v>
      </c>
      <c r="K15" s="162">
        <f>세입세출!D82</f>
        <v>1200</v>
      </c>
      <c r="L15" s="162">
        <f>세입세출!E82</f>
        <v>1200</v>
      </c>
      <c r="M15" s="173">
        <f t="shared" ref="M15:M41" si="5">L15-K15</f>
        <v>0</v>
      </c>
      <c r="N15" s="178">
        <f t="shared" ref="N15:N34" si="6">M15/K15%</f>
        <v>0</v>
      </c>
    </row>
    <row r="16" spans="1:16" s="5" customFormat="1" ht="15.95" customHeight="1" x14ac:dyDescent="0.15">
      <c r="A16" s="114"/>
      <c r="B16" s="121" t="s">
        <v>177</v>
      </c>
      <c r="C16" s="90" t="s">
        <v>159</v>
      </c>
      <c r="D16" s="89">
        <f>세입세출!D24</f>
        <v>20800</v>
      </c>
      <c r="E16" s="89">
        <f>세입세출!E24</f>
        <v>31500</v>
      </c>
      <c r="F16" s="162">
        <f t="shared" si="2"/>
        <v>10700</v>
      </c>
      <c r="G16" s="522">
        <f t="shared" si="4"/>
        <v>51.442307692307693</v>
      </c>
      <c r="H16" s="198"/>
      <c r="I16" s="111" t="s">
        <v>149</v>
      </c>
      <c r="J16" s="90" t="s">
        <v>159</v>
      </c>
      <c r="K16" s="163">
        <f>세입세출!D89</f>
        <v>13796.800000000001</v>
      </c>
      <c r="L16" s="163">
        <f>세입세출!E89</f>
        <v>13736.800000000001</v>
      </c>
      <c r="M16" s="165">
        <f t="shared" si="5"/>
        <v>-60</v>
      </c>
      <c r="N16" s="177">
        <f t="shared" si="6"/>
        <v>-0.43488345123506894</v>
      </c>
    </row>
    <row r="17" spans="1:15" s="5" customFormat="1" ht="15.95" customHeight="1" x14ac:dyDescent="0.15">
      <c r="A17" s="115"/>
      <c r="B17" s="122"/>
      <c r="C17" s="90" t="s">
        <v>177</v>
      </c>
      <c r="D17" s="89">
        <f>세입세출!D25</f>
        <v>20800</v>
      </c>
      <c r="E17" s="89">
        <f>세입세출!E25</f>
        <v>31500</v>
      </c>
      <c r="F17" s="162">
        <f t="shared" si="2"/>
        <v>10700</v>
      </c>
      <c r="G17" s="522">
        <f t="shared" si="4"/>
        <v>51.442307692307693</v>
      </c>
      <c r="H17" s="198"/>
      <c r="I17" s="198"/>
      <c r="J17" s="90" t="s">
        <v>174</v>
      </c>
      <c r="K17" s="162">
        <f>세입세출!D90</f>
        <v>1520</v>
      </c>
      <c r="L17" s="162">
        <f>세입세출!E90</f>
        <v>1520</v>
      </c>
      <c r="M17" s="165">
        <f t="shared" si="5"/>
        <v>0</v>
      </c>
      <c r="N17" s="177">
        <f t="shared" si="6"/>
        <v>0</v>
      </c>
    </row>
    <row r="18" spans="1:15" s="5" customFormat="1" ht="15.95" customHeight="1" x14ac:dyDescent="0.15">
      <c r="A18" s="113" t="s">
        <v>173</v>
      </c>
      <c r="B18" s="108" t="s">
        <v>159</v>
      </c>
      <c r="C18" s="160"/>
      <c r="D18" s="89">
        <f>세입세출!D30</f>
        <v>178895.26200000002</v>
      </c>
      <c r="E18" s="89">
        <f>세입세출!E30</f>
        <v>189958.86499999999</v>
      </c>
      <c r="F18" s="162">
        <f t="shared" si="2"/>
        <v>11063.602999999974</v>
      </c>
      <c r="G18" s="522">
        <f t="shared" si="4"/>
        <v>6.184402468970907</v>
      </c>
      <c r="H18" s="198"/>
      <c r="I18" s="198"/>
      <c r="J18" s="90" t="s">
        <v>125</v>
      </c>
      <c r="K18" s="163">
        <f>세입세출!D94</f>
        <v>4147.2</v>
      </c>
      <c r="L18" s="163">
        <f>세입세출!E94</f>
        <v>4147.2</v>
      </c>
      <c r="M18" s="165">
        <f t="shared" si="5"/>
        <v>0</v>
      </c>
      <c r="N18" s="177">
        <f t="shared" si="6"/>
        <v>0</v>
      </c>
    </row>
    <row r="19" spans="1:15" s="5" customFormat="1" ht="15.95" customHeight="1" x14ac:dyDescent="0.15">
      <c r="A19" s="114"/>
      <c r="B19" s="111" t="s">
        <v>173</v>
      </c>
      <c r="C19" s="90" t="s">
        <v>159</v>
      </c>
      <c r="D19" s="89">
        <f>세입세출!D30</f>
        <v>178895.26200000002</v>
      </c>
      <c r="E19" s="89">
        <f>세입세출!E30</f>
        <v>189958.86499999999</v>
      </c>
      <c r="F19" s="162">
        <f t="shared" si="2"/>
        <v>11063.602999999974</v>
      </c>
      <c r="G19" s="522">
        <f t="shared" si="4"/>
        <v>6.184402468970907</v>
      </c>
      <c r="H19" s="198"/>
      <c r="I19" s="198"/>
      <c r="J19" s="90" t="s">
        <v>28</v>
      </c>
      <c r="K19" s="162">
        <f>세입세출!D102</f>
        <v>5619.6</v>
      </c>
      <c r="L19" s="162">
        <f>세입세출!E102</f>
        <v>5619.6</v>
      </c>
      <c r="M19" s="165">
        <f t="shared" si="5"/>
        <v>0</v>
      </c>
      <c r="N19" s="177">
        <f t="shared" si="6"/>
        <v>0</v>
      </c>
    </row>
    <row r="20" spans="1:15" s="176" customFormat="1" ht="15.95" customHeight="1" x14ac:dyDescent="0.15">
      <c r="A20" s="115"/>
      <c r="B20" s="112"/>
      <c r="C20" s="90" t="s">
        <v>22</v>
      </c>
      <c r="D20" s="89">
        <f>세입세출!D31</f>
        <v>178895.26200000002</v>
      </c>
      <c r="E20" s="89">
        <f>세입세출!E31</f>
        <v>189958.86499999999</v>
      </c>
      <c r="F20" s="162">
        <f t="shared" si="2"/>
        <v>11063.602999999974</v>
      </c>
      <c r="G20" s="522">
        <f t="shared" si="4"/>
        <v>6.184402468970907</v>
      </c>
      <c r="H20" s="198"/>
      <c r="I20" s="198"/>
      <c r="J20" s="108" t="s">
        <v>41</v>
      </c>
      <c r="K20" s="163">
        <f>세입세출!D107</f>
        <v>910</v>
      </c>
      <c r="L20" s="163">
        <f>세입세출!E107</f>
        <v>900</v>
      </c>
      <c r="M20" s="165">
        <f t="shared" si="5"/>
        <v>-10</v>
      </c>
      <c r="N20" s="177">
        <f t="shared" si="6"/>
        <v>-1.098901098901099</v>
      </c>
    </row>
    <row r="21" spans="1:15" s="4" customFormat="1" ht="15.95" customHeight="1" x14ac:dyDescent="0.15">
      <c r="A21" s="113" t="s">
        <v>166</v>
      </c>
      <c r="B21" s="108" t="s">
        <v>159</v>
      </c>
      <c r="C21" s="160"/>
      <c r="D21" s="89">
        <f>세입세출!D37</f>
        <v>560</v>
      </c>
      <c r="E21" s="89">
        <f>세입세출!E37</f>
        <v>560</v>
      </c>
      <c r="F21" s="162">
        <f t="shared" si="2"/>
        <v>0</v>
      </c>
      <c r="G21" s="522">
        <f t="shared" si="4"/>
        <v>0</v>
      </c>
      <c r="H21" s="198"/>
      <c r="I21" s="198"/>
      <c r="J21" s="90" t="s">
        <v>168</v>
      </c>
      <c r="K21" s="162">
        <f>세입세출!D112</f>
        <v>1600</v>
      </c>
      <c r="L21" s="162">
        <f>세입세출!E112</f>
        <v>1550</v>
      </c>
      <c r="M21" s="165">
        <f t="shared" si="5"/>
        <v>-50</v>
      </c>
      <c r="N21" s="177">
        <f t="shared" si="6"/>
        <v>-3.125</v>
      </c>
    </row>
    <row r="22" spans="1:15" s="4" customFormat="1" ht="15.95" customHeight="1" x14ac:dyDescent="0.15">
      <c r="A22" s="114"/>
      <c r="B22" s="198" t="s">
        <v>166</v>
      </c>
      <c r="C22" s="122" t="s">
        <v>14</v>
      </c>
      <c r="D22" s="174">
        <f>세입세출!D38</f>
        <v>60</v>
      </c>
      <c r="E22" s="174">
        <f>세입세출!E38</f>
        <v>60</v>
      </c>
      <c r="F22" s="276">
        <f t="shared" si="2"/>
        <v>0</v>
      </c>
      <c r="G22" s="524">
        <f t="shared" si="4"/>
        <v>0</v>
      </c>
      <c r="H22" s="111" t="s">
        <v>80</v>
      </c>
      <c r="I22" s="111" t="s">
        <v>146</v>
      </c>
      <c r="J22" s="90" t="s">
        <v>159</v>
      </c>
      <c r="K22" s="163">
        <f>세입세출!D116</f>
        <v>2000</v>
      </c>
      <c r="L22" s="163">
        <f>세입세출!E116</f>
        <v>2000</v>
      </c>
      <c r="M22" s="165">
        <f t="shared" si="5"/>
        <v>0</v>
      </c>
      <c r="N22" s="177">
        <f t="shared" si="6"/>
        <v>0</v>
      </c>
    </row>
    <row r="23" spans="1:15" s="4" customFormat="1" ht="15.95" customHeight="1" x14ac:dyDescent="0.15">
      <c r="A23" s="115"/>
      <c r="B23" s="118"/>
      <c r="C23" s="108" t="s">
        <v>42</v>
      </c>
      <c r="D23" s="89">
        <f>세입세출!D39</f>
        <v>500</v>
      </c>
      <c r="E23" s="89">
        <f>세입세출!E39</f>
        <v>500</v>
      </c>
      <c r="F23" s="162">
        <f t="shared" si="2"/>
        <v>0</v>
      </c>
      <c r="G23" s="522">
        <f t="shared" si="4"/>
        <v>0</v>
      </c>
      <c r="H23" s="198"/>
      <c r="I23" s="198"/>
      <c r="J23" s="250" t="s">
        <v>48</v>
      </c>
      <c r="K23" s="162">
        <f>세입세출!D117</f>
        <v>1000</v>
      </c>
      <c r="L23" s="162">
        <f>세입세출!E117</f>
        <v>1000</v>
      </c>
      <c r="M23" s="171">
        <f t="shared" si="5"/>
        <v>0</v>
      </c>
      <c r="N23" s="179">
        <f t="shared" si="6"/>
        <v>0</v>
      </c>
    </row>
    <row r="24" spans="1:15" s="4" customFormat="1" ht="15.95" customHeight="1" x14ac:dyDescent="0.15">
      <c r="A24" s="268"/>
      <c r="B24" s="269"/>
      <c r="C24" s="269"/>
      <c r="D24" s="271"/>
      <c r="E24" s="271"/>
      <c r="F24" s="289"/>
      <c r="G24" s="271"/>
      <c r="H24" s="282"/>
      <c r="I24" s="197"/>
      <c r="J24" s="108" t="s">
        <v>49</v>
      </c>
      <c r="K24" s="163">
        <f>세입세출!D120</f>
        <v>1000</v>
      </c>
      <c r="L24" s="163">
        <f>세입세출!E120</f>
        <v>1000</v>
      </c>
      <c r="M24" s="171">
        <f t="shared" si="5"/>
        <v>0</v>
      </c>
      <c r="N24" s="179">
        <f t="shared" si="6"/>
        <v>0</v>
      </c>
    </row>
    <row r="25" spans="1:15" s="4" customFormat="1" ht="15.95" customHeight="1" x14ac:dyDescent="0.15">
      <c r="A25" s="312"/>
      <c r="B25" s="90"/>
      <c r="C25" s="90"/>
      <c r="D25" s="89"/>
      <c r="E25" s="89"/>
      <c r="F25" s="163"/>
      <c r="G25" s="290"/>
      <c r="H25" s="283" t="s">
        <v>147</v>
      </c>
      <c r="I25" s="198" t="s">
        <v>147</v>
      </c>
      <c r="J25" s="90" t="s">
        <v>159</v>
      </c>
      <c r="K25" s="162">
        <f>세입세출!D127</f>
        <v>45910.35</v>
      </c>
      <c r="L25" s="162">
        <f>세입세출!E127</f>
        <v>45805.64</v>
      </c>
      <c r="M25" s="171">
        <f t="shared" si="5"/>
        <v>-104.70999999999913</v>
      </c>
      <c r="N25" s="179">
        <f t="shared" si="6"/>
        <v>-0.22807493299441003</v>
      </c>
    </row>
    <row r="26" spans="1:15" s="4" customFormat="1" ht="15.95" customHeight="1" x14ac:dyDescent="0.15">
      <c r="A26" s="312"/>
      <c r="B26" s="90"/>
      <c r="C26" s="90"/>
      <c r="D26" s="89"/>
      <c r="E26" s="89"/>
      <c r="F26" s="163"/>
      <c r="G26" s="290"/>
      <c r="H26" s="283"/>
      <c r="I26" s="198"/>
      <c r="J26" s="90" t="s">
        <v>103</v>
      </c>
      <c r="K26" s="163">
        <f>세입세출!D128</f>
        <v>150</v>
      </c>
      <c r="L26" s="163">
        <f>세입세출!E128</f>
        <v>150</v>
      </c>
      <c r="M26" s="171">
        <f t="shared" si="5"/>
        <v>0</v>
      </c>
      <c r="N26" s="179">
        <f t="shared" si="6"/>
        <v>0</v>
      </c>
    </row>
    <row r="27" spans="1:15" s="4" customFormat="1" ht="15.95" customHeight="1" x14ac:dyDescent="0.15">
      <c r="A27" s="312"/>
      <c r="B27" s="90"/>
      <c r="C27" s="90"/>
      <c r="D27" s="89"/>
      <c r="E27" s="89"/>
      <c r="F27" s="163"/>
      <c r="G27" s="290"/>
      <c r="H27" s="283"/>
      <c r="I27" s="247"/>
      <c r="J27" s="250" t="s">
        <v>51</v>
      </c>
      <c r="K27" s="163">
        <f>세입세출!D135</f>
        <v>11300</v>
      </c>
      <c r="L27" s="163">
        <f>세입세출!E135</f>
        <v>11300</v>
      </c>
      <c r="M27" s="165">
        <f t="shared" si="5"/>
        <v>0</v>
      </c>
      <c r="N27" s="177">
        <f t="shared" si="6"/>
        <v>0</v>
      </c>
    </row>
    <row r="28" spans="1:15" s="4" customFormat="1" ht="15.95" customHeight="1" x14ac:dyDescent="0.15">
      <c r="A28" s="313"/>
      <c r="B28" s="108"/>
      <c r="C28" s="108"/>
      <c r="D28" s="89"/>
      <c r="E28" s="89"/>
      <c r="F28" s="163"/>
      <c r="G28" s="290"/>
      <c r="H28" s="283"/>
      <c r="I28" s="198"/>
      <c r="J28" s="90" t="s">
        <v>32</v>
      </c>
      <c r="K28" s="163">
        <f>세입세출!D146</f>
        <v>3770</v>
      </c>
      <c r="L28" s="163">
        <f>세입세출!E146</f>
        <v>3770</v>
      </c>
      <c r="M28" s="165">
        <f t="shared" si="5"/>
        <v>0</v>
      </c>
      <c r="N28" s="177">
        <f t="shared" si="6"/>
        <v>0</v>
      </c>
    </row>
    <row r="29" spans="1:15" s="4" customFormat="1" ht="15.95" customHeight="1" x14ac:dyDescent="0.15">
      <c r="A29" s="312"/>
      <c r="B29" s="90"/>
      <c r="C29" s="90"/>
      <c r="D29" s="89"/>
      <c r="E29" s="89"/>
      <c r="F29" s="163"/>
      <c r="G29" s="290"/>
      <c r="H29" s="284"/>
      <c r="I29" s="198"/>
      <c r="J29" s="90" t="s">
        <v>110</v>
      </c>
      <c r="K29" s="162">
        <f>세입세출!D154</f>
        <v>2100</v>
      </c>
      <c r="L29" s="162">
        <f>세입세출!E154</f>
        <v>2100</v>
      </c>
      <c r="M29" s="165">
        <f t="shared" si="5"/>
        <v>0</v>
      </c>
      <c r="N29" s="177">
        <f t="shared" si="6"/>
        <v>0</v>
      </c>
    </row>
    <row r="30" spans="1:15" s="4" customFormat="1" ht="15.95" customHeight="1" x14ac:dyDescent="0.15">
      <c r="A30" s="312"/>
      <c r="B30" s="90"/>
      <c r="C30" s="291"/>
      <c r="D30" s="89"/>
      <c r="E30" s="89"/>
      <c r="F30" s="163"/>
      <c r="G30" s="290"/>
      <c r="H30" s="284"/>
      <c r="I30" s="198"/>
      <c r="J30" s="349" t="s">
        <v>212</v>
      </c>
      <c r="K30" s="163">
        <f>세입세출!D164</f>
        <v>600</v>
      </c>
      <c r="L30" s="163">
        <f>세입세출!E164</f>
        <v>600</v>
      </c>
      <c r="M30" s="165">
        <f t="shared" si="5"/>
        <v>0</v>
      </c>
      <c r="N30" s="177">
        <f t="shared" si="6"/>
        <v>0</v>
      </c>
      <c r="O30" s="5"/>
    </row>
    <row r="31" spans="1:15" s="4" customFormat="1" ht="15.95" customHeight="1" x14ac:dyDescent="0.15">
      <c r="A31" s="312"/>
      <c r="B31" s="90"/>
      <c r="C31" s="90"/>
      <c r="D31" s="89"/>
      <c r="E31" s="89"/>
      <c r="F31" s="163"/>
      <c r="G31" s="290"/>
      <c r="H31" s="284"/>
      <c r="I31" s="198"/>
      <c r="J31" s="90" t="s">
        <v>34</v>
      </c>
      <c r="K31" s="162">
        <f>세입세출!D168</f>
        <v>100</v>
      </c>
      <c r="L31" s="162">
        <f>세입세출!E168</f>
        <v>100</v>
      </c>
      <c r="M31" s="165">
        <f t="shared" si="5"/>
        <v>0</v>
      </c>
      <c r="N31" s="177">
        <f t="shared" si="6"/>
        <v>0</v>
      </c>
    </row>
    <row r="32" spans="1:15" s="4" customFormat="1" ht="15.95" customHeight="1" x14ac:dyDescent="0.15">
      <c r="A32" s="312"/>
      <c r="B32" s="90"/>
      <c r="C32" s="90"/>
      <c r="D32" s="89"/>
      <c r="E32" s="89"/>
      <c r="F32" s="163"/>
      <c r="G32" s="290"/>
      <c r="H32" s="284"/>
      <c r="I32" s="199"/>
      <c r="J32" s="108" t="s">
        <v>35</v>
      </c>
      <c r="K32" s="163">
        <f>세입세출!D172</f>
        <v>1300</v>
      </c>
      <c r="L32" s="163">
        <f>세입세출!E172</f>
        <v>1300</v>
      </c>
      <c r="M32" s="171">
        <f t="shared" si="5"/>
        <v>0</v>
      </c>
      <c r="N32" s="179">
        <f t="shared" si="6"/>
        <v>0</v>
      </c>
    </row>
    <row r="33" spans="1:14" s="194" customFormat="1" x14ac:dyDescent="0.3">
      <c r="A33" s="302"/>
      <c r="B33" s="292"/>
      <c r="C33" s="292"/>
      <c r="D33" s="293"/>
      <c r="E33" s="293"/>
      <c r="F33" s="294"/>
      <c r="G33" s="295"/>
      <c r="H33" s="284"/>
      <c r="I33" s="199"/>
      <c r="J33" s="349" t="s">
        <v>404</v>
      </c>
      <c r="K33" s="162">
        <f>세입세출!D179</f>
        <v>2000</v>
      </c>
      <c r="L33" s="162">
        <f>세입세출!E179</f>
        <v>2000</v>
      </c>
      <c r="M33" s="171">
        <f t="shared" si="5"/>
        <v>0</v>
      </c>
      <c r="N33" s="179">
        <f t="shared" si="6"/>
        <v>0</v>
      </c>
    </row>
    <row r="34" spans="1:14" s="196" customFormat="1" ht="17.25" thickBot="1" x14ac:dyDescent="0.35">
      <c r="A34" s="314"/>
      <c r="B34" s="315"/>
      <c r="C34" s="315"/>
      <c r="D34" s="316"/>
      <c r="E34" s="316"/>
      <c r="F34" s="317"/>
      <c r="G34" s="318"/>
      <c r="H34" s="319"/>
      <c r="I34" s="320"/>
      <c r="J34" s="321" t="s">
        <v>36</v>
      </c>
      <c r="K34" s="280">
        <f>세입세출!D186</f>
        <v>2200</v>
      </c>
      <c r="L34" s="280">
        <f>세입세출!E186</f>
        <v>2200</v>
      </c>
      <c r="M34" s="277">
        <f t="shared" si="5"/>
        <v>0</v>
      </c>
      <c r="N34" s="278">
        <f t="shared" si="6"/>
        <v>0</v>
      </c>
    </row>
    <row r="35" spans="1:14" s="196" customFormat="1" x14ac:dyDescent="0.3">
      <c r="A35" s="302"/>
      <c r="B35" s="292"/>
      <c r="C35" s="292"/>
      <c r="D35" s="293"/>
      <c r="E35" s="293"/>
      <c r="F35" s="294"/>
      <c r="G35" s="295"/>
      <c r="H35" s="715" t="s">
        <v>147</v>
      </c>
      <c r="I35" s="715" t="s">
        <v>147</v>
      </c>
      <c r="J35" s="108" t="s">
        <v>79</v>
      </c>
      <c r="K35" s="162">
        <f>세입세출!D191</f>
        <v>5390.35</v>
      </c>
      <c r="L35" s="162">
        <f>세입세출!E191</f>
        <v>5285.64</v>
      </c>
      <c r="M35" s="171">
        <f t="shared" si="5"/>
        <v>-104.71000000000004</v>
      </c>
      <c r="N35" s="179" t="s">
        <v>148</v>
      </c>
    </row>
    <row r="36" spans="1:14" s="195" customFormat="1" x14ac:dyDescent="0.3">
      <c r="A36" s="303"/>
      <c r="B36" s="296"/>
      <c r="C36" s="296"/>
      <c r="D36" s="297"/>
      <c r="E36" s="297"/>
      <c r="F36" s="298"/>
      <c r="G36" s="299"/>
      <c r="H36" s="199"/>
      <c r="I36" s="713"/>
      <c r="J36" s="108" t="s">
        <v>39</v>
      </c>
      <c r="K36" s="163">
        <f>세입세출!D194</f>
        <v>1000</v>
      </c>
      <c r="L36" s="163">
        <f>세입세출!E194</f>
        <v>1000</v>
      </c>
      <c r="M36" s="171">
        <f t="shared" si="5"/>
        <v>0</v>
      </c>
      <c r="N36" s="179">
        <f t="shared" ref="N36:N41" si="7">M36/K36%</f>
        <v>0</v>
      </c>
    </row>
    <row r="37" spans="1:14" s="195" customFormat="1" x14ac:dyDescent="0.3">
      <c r="A37" s="303"/>
      <c r="B37" s="296"/>
      <c r="C37" s="296"/>
      <c r="D37" s="297"/>
      <c r="E37" s="297"/>
      <c r="F37" s="298"/>
      <c r="G37" s="299"/>
      <c r="H37" s="716"/>
      <c r="I37" s="197"/>
      <c r="J37" s="714" t="s">
        <v>310</v>
      </c>
      <c r="K37" s="163">
        <f>세입세출!D202</f>
        <v>16000</v>
      </c>
      <c r="L37" s="163">
        <f>세입세출!E202</f>
        <v>16000</v>
      </c>
      <c r="M37" s="171">
        <f t="shared" ref="M37" si="8">L37-K37</f>
        <v>0</v>
      </c>
      <c r="N37" s="179">
        <f t="shared" ref="N37" si="9">M37/K37%</f>
        <v>0</v>
      </c>
    </row>
    <row r="38" spans="1:14" x14ac:dyDescent="0.3">
      <c r="A38" s="303"/>
      <c r="B38" s="296"/>
      <c r="C38" s="296"/>
      <c r="D38" s="297"/>
      <c r="E38" s="297"/>
      <c r="F38" s="298"/>
      <c r="G38" s="299"/>
      <c r="H38" s="285" t="s">
        <v>176</v>
      </c>
      <c r="I38" s="249" t="s">
        <v>176</v>
      </c>
      <c r="J38" s="269" t="s">
        <v>159</v>
      </c>
      <c r="K38" s="162">
        <f>세입세출!D207</f>
        <v>100</v>
      </c>
      <c r="L38" s="162">
        <f>세입세출!E207</f>
        <v>100</v>
      </c>
      <c r="M38" s="171">
        <f t="shared" si="5"/>
        <v>0</v>
      </c>
      <c r="N38" s="179">
        <f t="shared" si="7"/>
        <v>0</v>
      </c>
    </row>
    <row r="39" spans="1:14" x14ac:dyDescent="0.3">
      <c r="A39" s="303"/>
      <c r="B39" s="296"/>
      <c r="C39" s="296"/>
      <c r="D39" s="297"/>
      <c r="E39" s="297"/>
      <c r="F39" s="298"/>
      <c r="G39" s="299"/>
      <c r="H39" s="286"/>
      <c r="I39" s="248"/>
      <c r="J39" s="269" t="s">
        <v>176</v>
      </c>
      <c r="K39" s="163">
        <f>세입세출!D208</f>
        <v>100</v>
      </c>
      <c r="L39" s="163">
        <f>세입세출!E208</f>
        <v>100</v>
      </c>
      <c r="M39" s="171">
        <f t="shared" si="5"/>
        <v>0</v>
      </c>
      <c r="N39" s="179">
        <f t="shared" si="7"/>
        <v>0</v>
      </c>
    </row>
    <row r="40" spans="1:14" x14ac:dyDescent="0.3">
      <c r="A40" s="303"/>
      <c r="B40" s="296"/>
      <c r="C40" s="296"/>
      <c r="D40" s="297"/>
      <c r="E40" s="297"/>
      <c r="F40" s="298"/>
      <c r="G40" s="299"/>
      <c r="H40" s="287" t="s">
        <v>178</v>
      </c>
      <c r="I40" s="153" t="s">
        <v>178</v>
      </c>
      <c r="J40" s="269" t="s">
        <v>159</v>
      </c>
      <c r="K40" s="162">
        <f>세입세출!D210</f>
        <v>2000</v>
      </c>
      <c r="L40" s="162">
        <f>세입세출!E210</f>
        <v>2000</v>
      </c>
      <c r="M40" s="171">
        <f>L40-K40</f>
        <v>0</v>
      </c>
      <c r="N40" s="179">
        <f>M40/K40%</f>
        <v>0</v>
      </c>
    </row>
    <row r="41" spans="1:14" x14ac:dyDescent="0.3">
      <c r="A41" s="303"/>
      <c r="B41" s="296"/>
      <c r="C41" s="296"/>
      <c r="D41" s="297"/>
      <c r="E41" s="297"/>
      <c r="F41" s="298"/>
      <c r="G41" s="299"/>
      <c r="H41" s="286"/>
      <c r="I41" s="248"/>
      <c r="J41" s="269" t="s">
        <v>178</v>
      </c>
      <c r="K41" s="163">
        <f>세입세출!D211</f>
        <v>2000</v>
      </c>
      <c r="L41" s="163">
        <f>세입세출!E211</f>
        <v>2000</v>
      </c>
      <c r="M41" s="171">
        <f t="shared" si="5"/>
        <v>0</v>
      </c>
      <c r="N41" s="179">
        <f t="shared" si="7"/>
        <v>0</v>
      </c>
    </row>
    <row r="42" spans="1:14" x14ac:dyDescent="0.3">
      <c r="A42" s="303"/>
      <c r="B42" s="296"/>
      <c r="C42" s="296"/>
      <c r="D42" s="297"/>
      <c r="E42" s="297"/>
      <c r="F42" s="298"/>
      <c r="G42" s="299"/>
      <c r="H42" s="288" t="s">
        <v>308</v>
      </c>
      <c r="I42" s="279" t="s">
        <v>308</v>
      </c>
      <c r="J42" s="269" t="s">
        <v>159</v>
      </c>
      <c r="K42" s="162">
        <f>세입세출!D212</f>
        <v>40000</v>
      </c>
      <c r="L42" s="162">
        <f>세입세출!E212</f>
        <v>20000</v>
      </c>
      <c r="M42" s="171">
        <f t="shared" ref="M42:M43" si="10">L42-K42</f>
        <v>-20000</v>
      </c>
      <c r="N42" s="179">
        <v>100</v>
      </c>
    </row>
    <row r="43" spans="1:14" x14ac:dyDescent="0.3">
      <c r="A43" s="303"/>
      <c r="B43" s="296"/>
      <c r="C43" s="296"/>
      <c r="D43" s="297"/>
      <c r="E43" s="297"/>
      <c r="F43" s="298"/>
      <c r="G43" s="299"/>
      <c r="H43" s="286"/>
      <c r="I43" s="248"/>
      <c r="J43" s="279" t="s">
        <v>308</v>
      </c>
      <c r="K43" s="172">
        <f>세입세출!D213+세입세출!D214</f>
        <v>40000</v>
      </c>
      <c r="L43" s="172">
        <f>세입세출!E213+세입세출!E214</f>
        <v>20000</v>
      </c>
      <c r="M43" s="300">
        <f t="shared" si="10"/>
        <v>-20000</v>
      </c>
      <c r="N43" s="179">
        <v>100</v>
      </c>
    </row>
    <row r="44" spans="1:14" x14ac:dyDescent="0.3">
      <c r="A44" s="303"/>
      <c r="B44" s="296"/>
      <c r="C44" s="296"/>
      <c r="D44" s="297"/>
      <c r="E44" s="297"/>
      <c r="F44" s="298"/>
      <c r="G44" s="299"/>
      <c r="H44" s="288" t="s">
        <v>190</v>
      </c>
      <c r="I44" s="279" t="s">
        <v>190</v>
      </c>
      <c r="J44" s="525" t="s">
        <v>159</v>
      </c>
      <c r="K44" s="162">
        <f>세입세출!D215</f>
        <v>175366.44200000001</v>
      </c>
      <c r="L44" s="162">
        <f>세입세출!E215</f>
        <v>186638.905</v>
      </c>
      <c r="M44" s="171">
        <f t="shared" ref="M44:M45" si="11">L44-K44</f>
        <v>11272.462999999989</v>
      </c>
      <c r="N44" s="179">
        <f t="shared" ref="N44:N45" si="12">M44/K44%</f>
        <v>6.4279476001457496</v>
      </c>
    </row>
    <row r="45" spans="1:14" x14ac:dyDescent="0.3">
      <c r="A45" s="303"/>
      <c r="B45" s="296"/>
      <c r="C45" s="296"/>
      <c r="D45" s="297"/>
      <c r="E45" s="297"/>
      <c r="F45" s="298"/>
      <c r="G45" s="299"/>
      <c r="H45" s="286"/>
      <c r="I45" s="248"/>
      <c r="J45" s="279" t="s">
        <v>191</v>
      </c>
      <c r="K45" s="172">
        <f>세입세출!D216</f>
        <v>175366.44200000001</v>
      </c>
      <c r="L45" s="172">
        <f>세입세출!E216</f>
        <v>186638.905</v>
      </c>
      <c r="M45" s="300">
        <f t="shared" si="11"/>
        <v>11272.462999999989</v>
      </c>
      <c r="N45" s="179">
        <f t="shared" si="12"/>
        <v>6.4279476001457496</v>
      </c>
    </row>
    <row r="46" spans="1:14" x14ac:dyDescent="0.3">
      <c r="A46" s="303"/>
      <c r="B46" s="296"/>
      <c r="C46" s="296"/>
      <c r="D46" s="297"/>
      <c r="E46" s="297"/>
      <c r="F46" s="298"/>
      <c r="G46" s="299"/>
      <c r="H46" s="296"/>
      <c r="I46" s="296"/>
      <c r="J46" s="296"/>
      <c r="K46" s="164"/>
      <c r="L46" s="164"/>
      <c r="M46" s="301"/>
      <c r="N46" s="304"/>
    </row>
    <row r="47" spans="1:14" x14ac:dyDescent="0.3">
      <c r="A47" s="303"/>
      <c r="B47" s="296"/>
      <c r="C47" s="296"/>
      <c r="D47" s="297"/>
      <c r="E47" s="297"/>
      <c r="F47" s="298"/>
      <c r="G47" s="299"/>
      <c r="H47" s="296"/>
      <c r="I47" s="296"/>
      <c r="J47" s="296"/>
      <c r="K47" s="164"/>
      <c r="L47" s="164"/>
      <c r="M47" s="301"/>
      <c r="N47" s="304"/>
    </row>
    <row r="48" spans="1:14" x14ac:dyDescent="0.3">
      <c r="A48" s="303"/>
      <c r="B48" s="296"/>
      <c r="C48" s="296"/>
      <c r="D48" s="297"/>
      <c r="E48" s="297"/>
      <c r="F48" s="298"/>
      <c r="G48" s="299"/>
      <c r="H48" s="296"/>
      <c r="I48" s="296"/>
      <c r="J48" s="296"/>
      <c r="K48" s="164"/>
      <c r="L48" s="164"/>
      <c r="M48" s="301"/>
      <c r="N48" s="304"/>
    </row>
    <row r="49" spans="1:14" x14ac:dyDescent="0.3">
      <c r="A49" s="303"/>
      <c r="B49" s="296"/>
      <c r="C49" s="296"/>
      <c r="D49" s="297"/>
      <c r="E49" s="297"/>
      <c r="F49" s="298"/>
      <c r="G49" s="299"/>
      <c r="H49" s="296"/>
      <c r="I49" s="296"/>
      <c r="J49" s="296"/>
      <c r="K49" s="164"/>
      <c r="L49" s="164"/>
      <c r="M49" s="301"/>
      <c r="N49" s="304"/>
    </row>
    <row r="50" spans="1:14" x14ac:dyDescent="0.3">
      <c r="A50" s="303"/>
      <c r="B50" s="296"/>
      <c r="C50" s="296"/>
      <c r="D50" s="297"/>
      <c r="E50" s="297"/>
      <c r="F50" s="298"/>
      <c r="G50" s="299"/>
      <c r="H50" s="296"/>
      <c r="I50" s="296"/>
      <c r="J50" s="296"/>
      <c r="K50" s="164"/>
      <c r="L50" s="164"/>
      <c r="M50" s="301"/>
      <c r="N50" s="304"/>
    </row>
    <row r="51" spans="1:14" x14ac:dyDescent="0.3">
      <c r="A51" s="303"/>
      <c r="B51" s="296"/>
      <c r="C51" s="296"/>
      <c r="D51" s="297"/>
      <c r="E51" s="297"/>
      <c r="F51" s="298"/>
      <c r="G51" s="299"/>
      <c r="H51" s="296"/>
      <c r="I51" s="296"/>
      <c r="J51" s="296"/>
      <c r="K51" s="164"/>
      <c r="L51" s="164"/>
      <c r="M51" s="301"/>
      <c r="N51" s="304"/>
    </row>
    <row r="52" spans="1:14" x14ac:dyDescent="0.3">
      <c r="A52" s="303"/>
      <c r="B52" s="296"/>
      <c r="C52" s="296"/>
      <c r="D52" s="297"/>
      <c r="E52" s="297"/>
      <c r="F52" s="298"/>
      <c r="G52" s="299"/>
      <c r="H52" s="296"/>
      <c r="I52" s="296"/>
      <c r="J52" s="296"/>
      <c r="K52" s="164"/>
      <c r="L52" s="164"/>
      <c r="M52" s="301"/>
      <c r="N52" s="304"/>
    </row>
    <row r="53" spans="1:14" x14ac:dyDescent="0.3">
      <c r="A53" s="303"/>
      <c r="B53" s="296"/>
      <c r="C53" s="296"/>
      <c r="D53" s="297"/>
      <c r="E53" s="297"/>
      <c r="F53" s="298"/>
      <c r="G53" s="299"/>
      <c r="H53" s="296"/>
      <c r="I53" s="296"/>
      <c r="J53" s="296"/>
      <c r="K53" s="164"/>
      <c r="L53" s="164"/>
      <c r="M53" s="301"/>
      <c r="N53" s="304"/>
    </row>
    <row r="54" spans="1:14" x14ac:dyDescent="0.3">
      <c r="A54" s="303"/>
      <c r="B54" s="296"/>
      <c r="C54" s="296"/>
      <c r="D54" s="297"/>
      <c r="E54" s="297"/>
      <c r="F54" s="298"/>
      <c r="G54" s="299"/>
      <c r="H54" s="296"/>
      <c r="I54" s="296"/>
      <c r="J54" s="296"/>
      <c r="K54" s="164"/>
      <c r="L54" s="164"/>
      <c r="M54" s="301"/>
      <c r="N54" s="304"/>
    </row>
    <row r="55" spans="1:14" x14ac:dyDescent="0.3">
      <c r="A55" s="303"/>
      <c r="B55" s="296"/>
      <c r="C55" s="296"/>
      <c r="D55" s="297"/>
      <c r="E55" s="297"/>
      <c r="F55" s="298"/>
      <c r="G55" s="299"/>
      <c r="H55" s="296"/>
      <c r="I55" s="296"/>
      <c r="J55" s="296"/>
      <c r="K55" s="164"/>
      <c r="L55" s="164"/>
      <c r="M55" s="301"/>
      <c r="N55" s="304"/>
    </row>
    <row r="56" spans="1:14" x14ac:dyDescent="0.3">
      <c r="A56" s="303"/>
      <c r="B56" s="296"/>
      <c r="C56" s="296"/>
      <c r="D56" s="297"/>
      <c r="E56" s="297"/>
      <c r="F56" s="298"/>
      <c r="G56" s="299"/>
      <c r="H56" s="296"/>
      <c r="I56" s="296"/>
      <c r="J56" s="296"/>
      <c r="K56" s="164"/>
      <c r="L56" s="164"/>
      <c r="M56" s="301"/>
      <c r="N56" s="304"/>
    </row>
    <row r="57" spans="1:14" x14ac:dyDescent="0.3">
      <c r="A57" s="303"/>
      <c r="B57" s="296"/>
      <c r="C57" s="296"/>
      <c r="D57" s="297"/>
      <c r="E57" s="297"/>
      <c r="F57" s="298"/>
      <c r="G57" s="299"/>
      <c r="H57" s="296"/>
      <c r="I57" s="296"/>
      <c r="J57" s="296"/>
      <c r="K57" s="164"/>
      <c r="L57" s="164"/>
      <c r="M57" s="301"/>
      <c r="N57" s="304"/>
    </row>
    <row r="58" spans="1:14" x14ac:dyDescent="0.3">
      <c r="A58" s="303"/>
      <c r="B58" s="296"/>
      <c r="C58" s="296"/>
      <c r="D58" s="297"/>
      <c r="E58" s="297"/>
      <c r="F58" s="298"/>
      <c r="G58" s="299"/>
      <c r="H58" s="296"/>
      <c r="I58" s="296"/>
      <c r="J58" s="296"/>
      <c r="K58" s="164"/>
      <c r="L58" s="164"/>
      <c r="M58" s="301"/>
      <c r="N58" s="304"/>
    </row>
    <row r="59" spans="1:14" x14ac:dyDescent="0.3">
      <c r="A59" s="303"/>
      <c r="B59" s="296"/>
      <c r="C59" s="296"/>
      <c r="D59" s="297"/>
      <c r="E59" s="297"/>
      <c r="F59" s="298"/>
      <c r="G59" s="299"/>
      <c r="H59" s="296"/>
      <c r="I59" s="296"/>
      <c r="J59" s="296"/>
      <c r="K59" s="164"/>
      <c r="L59" s="164"/>
      <c r="M59" s="301"/>
      <c r="N59" s="304"/>
    </row>
    <row r="60" spans="1:14" x14ac:dyDescent="0.3">
      <c r="A60" s="303"/>
      <c r="B60" s="296"/>
      <c r="C60" s="296"/>
      <c r="D60" s="297"/>
      <c r="E60" s="297"/>
      <c r="F60" s="298"/>
      <c r="G60" s="299"/>
      <c r="H60" s="296"/>
      <c r="I60" s="296"/>
      <c r="J60" s="296"/>
      <c r="K60" s="164"/>
      <c r="L60" s="164"/>
      <c r="M60" s="301"/>
      <c r="N60" s="304"/>
    </row>
    <row r="61" spans="1:14" x14ac:dyDescent="0.3">
      <c r="A61" s="303"/>
      <c r="B61" s="296"/>
      <c r="C61" s="296"/>
      <c r="D61" s="297"/>
      <c r="E61" s="297"/>
      <c r="F61" s="298"/>
      <c r="G61" s="299"/>
      <c r="H61" s="296"/>
      <c r="I61" s="296"/>
      <c r="J61" s="296"/>
      <c r="K61" s="164"/>
      <c r="L61" s="164"/>
      <c r="M61" s="301"/>
      <c r="N61" s="304"/>
    </row>
    <row r="62" spans="1:14" x14ac:dyDescent="0.3">
      <c r="A62" s="303"/>
      <c r="B62" s="296"/>
      <c r="C62" s="296"/>
      <c r="D62" s="297"/>
      <c r="E62" s="297"/>
      <c r="F62" s="298"/>
      <c r="G62" s="299"/>
      <c r="H62" s="296"/>
      <c r="I62" s="296"/>
      <c r="J62" s="296"/>
      <c r="K62" s="164"/>
      <c r="L62" s="164"/>
      <c r="M62" s="301"/>
      <c r="N62" s="304"/>
    </row>
    <row r="63" spans="1:14" x14ac:dyDescent="0.3">
      <c r="A63" s="303"/>
      <c r="B63" s="296"/>
      <c r="C63" s="296"/>
      <c r="D63" s="297"/>
      <c r="E63" s="297"/>
      <c r="F63" s="298"/>
      <c r="G63" s="299"/>
      <c r="H63" s="296"/>
      <c r="I63" s="296"/>
      <c r="J63" s="296"/>
      <c r="K63" s="164"/>
      <c r="L63" s="164"/>
      <c r="M63" s="301"/>
      <c r="N63" s="304"/>
    </row>
    <row r="64" spans="1:14" ht="17.25" thickBot="1" x14ac:dyDescent="0.35">
      <c r="A64" s="305"/>
      <c r="B64" s="306"/>
      <c r="C64" s="306"/>
      <c r="D64" s="307"/>
      <c r="E64" s="307"/>
      <c r="F64" s="308"/>
      <c r="G64" s="309"/>
      <c r="H64" s="306"/>
      <c r="I64" s="306"/>
      <c r="J64" s="306"/>
      <c r="K64" s="170"/>
      <c r="L64" s="170"/>
      <c r="M64" s="310"/>
      <c r="N64" s="311"/>
    </row>
  </sheetData>
  <mergeCells count="14">
    <mergeCell ref="A5:C5"/>
    <mergeCell ref="H5:J5"/>
    <mergeCell ref="A1:C1"/>
    <mergeCell ref="M1:N1"/>
    <mergeCell ref="A3:A4"/>
    <mergeCell ref="B3:B4"/>
    <mergeCell ref="C3:C4"/>
    <mergeCell ref="E3:E4"/>
    <mergeCell ref="H3:H4"/>
    <mergeCell ref="I3:I4"/>
    <mergeCell ref="J3:J4"/>
    <mergeCell ref="L3:L4"/>
    <mergeCell ref="A2:G2"/>
    <mergeCell ref="H2:N2"/>
  </mergeCells>
  <phoneticPr fontId="15" type="noConversion"/>
  <pageMargins left="0.35433070866141736" right="0.27559055118110237" top="0.94488188976377963" bottom="0.43307086614173229" header="0.43307086614173229" footer="0.31496062992125984"/>
  <pageSetup paperSize="9" scale="89" firstPageNumber="7" fitToHeight="0" orientation="landscape" useFirstPageNumber="1" r:id="rId1"/>
  <headerFooter>
    <oddHeader>&amp;C&amp;"맑은 고딕,굵게"&amp;18 2025년 한국뇌성마비복지회부산울산경남지회 예산(안) 총괄표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R458"/>
  <sheetViews>
    <sheetView tabSelected="1" view="pageBreakPreview" topLeftCell="B1" zoomScale="90" zoomScaleSheetLayoutView="90" workbookViewId="0">
      <selection activeCell="D5" sqref="D5"/>
    </sheetView>
  </sheetViews>
  <sheetFormatPr defaultColWidth="9" defaultRowHeight="16.5" x14ac:dyDescent="0.3"/>
  <cols>
    <col min="1" max="1" width="21" style="20" customWidth="1"/>
    <col min="2" max="2" width="14" style="20" customWidth="1"/>
    <col min="3" max="3" width="18.375" style="42" customWidth="1"/>
    <col min="4" max="4" width="13.625" style="19" customWidth="1"/>
    <col min="5" max="5" width="12.25" style="200" customWidth="1"/>
    <col min="6" max="6" width="16.25" style="53" customWidth="1"/>
    <col min="7" max="7" width="32.75" style="139" customWidth="1"/>
    <col min="8" max="8" width="16.625" style="48" customWidth="1"/>
    <col min="9" max="9" width="2.5" style="48" customWidth="1"/>
    <col min="10" max="10" width="6.875" style="48" bestFit="1" customWidth="1"/>
    <col min="11" max="11" width="4" style="48" customWidth="1"/>
    <col min="12" max="12" width="2.625" style="48" customWidth="1"/>
    <col min="13" max="13" width="18" style="49" customWidth="1"/>
    <col min="14" max="14" width="14.25" style="20" bestFit="1" customWidth="1"/>
    <col min="15" max="15" width="21.375" style="20" bestFit="1" customWidth="1"/>
    <col min="16" max="16" width="15.125" style="20" bestFit="1" customWidth="1"/>
    <col min="17" max="17" width="14" style="20" bestFit="1" customWidth="1"/>
    <col min="18" max="18" width="12.75" style="20" bestFit="1" customWidth="1"/>
    <col min="19" max="19" width="13" style="20" bestFit="1" customWidth="1"/>
    <col min="20" max="20" width="13.625" style="20" customWidth="1"/>
    <col min="21" max="21" width="23.625" style="20" customWidth="1"/>
    <col min="22" max="22" width="18.625" style="20" bestFit="1" customWidth="1"/>
    <col min="23" max="23" width="14.25" style="20" bestFit="1" customWidth="1"/>
    <col min="24" max="24" width="19" style="20" customWidth="1"/>
    <col min="25" max="25" width="14.375" style="20" bestFit="1" customWidth="1"/>
    <col min="26" max="26" width="14.25" style="20" bestFit="1" customWidth="1"/>
    <col min="27" max="27" width="17.125" style="20" bestFit="1" customWidth="1"/>
    <col min="28" max="28" width="15.625" style="20" bestFit="1" customWidth="1"/>
    <col min="29" max="29" width="9" style="20"/>
    <col min="30" max="30" width="12.75" style="20" bestFit="1" customWidth="1"/>
    <col min="31" max="32" width="10.375" style="20" bestFit="1" customWidth="1"/>
    <col min="33" max="33" width="18.75" style="20" bestFit="1" customWidth="1"/>
    <col min="34" max="34" width="9" style="20"/>
    <col min="35" max="35" width="10.375" style="20" bestFit="1" customWidth="1"/>
    <col min="36" max="41" width="9" style="20"/>
    <col min="42" max="42" width="10.375" style="20" bestFit="1" customWidth="1"/>
    <col min="43" max="43" width="9" style="20"/>
    <col min="44" max="44" width="10.375" style="20" bestFit="1" customWidth="1"/>
    <col min="45" max="16384" width="9" style="20"/>
  </cols>
  <sheetData>
    <row r="1" spans="1:28" s="78" customFormat="1" ht="18.95" customHeight="1" x14ac:dyDescent="0.3">
      <c r="A1" s="224" t="s">
        <v>350</v>
      </c>
      <c r="B1" s="225"/>
      <c r="C1" s="226"/>
      <c r="D1" s="227"/>
      <c r="E1" s="200"/>
      <c r="F1" s="228"/>
      <c r="G1" s="223"/>
      <c r="M1" s="229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28" ht="18.75" customHeight="1" thickBot="1" x14ac:dyDescent="0.35">
      <c r="A2" s="52"/>
      <c r="B2" s="126"/>
      <c r="C2" s="126"/>
      <c r="D2" s="126"/>
      <c r="E2" s="201"/>
      <c r="F2" s="127"/>
      <c r="G2" s="140"/>
      <c r="H2" s="128"/>
      <c r="I2" s="128"/>
      <c r="J2" s="128"/>
      <c r="K2" s="128"/>
      <c r="L2" s="128"/>
      <c r="M2" s="129" t="s">
        <v>26</v>
      </c>
      <c r="N2" s="449" t="s">
        <v>222</v>
      </c>
      <c r="O2" s="504" t="s">
        <v>222</v>
      </c>
      <c r="P2" s="504" t="s">
        <v>223</v>
      </c>
      <c r="Q2" s="504" t="s">
        <v>224</v>
      </c>
      <c r="R2" s="504" t="s">
        <v>225</v>
      </c>
      <c r="S2" s="504" t="s">
        <v>180</v>
      </c>
      <c r="T2" s="504" t="s">
        <v>310</v>
      </c>
      <c r="U2" s="505" t="s">
        <v>226</v>
      </c>
      <c r="V2" s="452"/>
      <c r="W2" s="452"/>
      <c r="X2" s="452"/>
      <c r="Y2" s="452"/>
      <c r="Z2" s="452"/>
      <c r="AA2" s="452"/>
      <c r="AB2" s="452"/>
    </row>
    <row r="3" spans="1:28" ht="18.95" customHeight="1" x14ac:dyDescent="0.3">
      <c r="A3" s="816" t="s">
        <v>82</v>
      </c>
      <c r="B3" s="817"/>
      <c r="C3" s="817" t="s">
        <v>163</v>
      </c>
      <c r="D3" s="751" t="s">
        <v>357</v>
      </c>
      <c r="E3" s="751" t="s">
        <v>361</v>
      </c>
      <c r="F3" s="753" t="s">
        <v>20</v>
      </c>
      <c r="G3" s="758" t="s">
        <v>2</v>
      </c>
      <c r="H3" s="758"/>
      <c r="I3" s="758"/>
      <c r="J3" s="758"/>
      <c r="K3" s="758"/>
      <c r="L3" s="758"/>
      <c r="M3" s="759"/>
      <c r="N3" s="453"/>
      <c r="O3" s="506" t="s">
        <v>227</v>
      </c>
      <c r="P3" s="504">
        <f>N8</f>
        <v>58000000</v>
      </c>
      <c r="Q3" s="504"/>
      <c r="R3" s="504"/>
      <c r="S3" s="504"/>
      <c r="T3" s="507"/>
      <c r="U3" s="625">
        <f t="shared" ref="U3:U9" si="0">SUM(P3:S3)</f>
        <v>58000000</v>
      </c>
      <c r="V3" s="456" t="s">
        <v>228</v>
      </c>
      <c r="W3" s="457" t="s">
        <v>223</v>
      </c>
      <c r="X3" s="457" t="s">
        <v>224</v>
      </c>
      <c r="Y3" s="457" t="s">
        <v>225</v>
      </c>
      <c r="Z3" s="457" t="s">
        <v>180</v>
      </c>
      <c r="AA3" s="458" t="s">
        <v>313</v>
      </c>
      <c r="AB3" s="458"/>
    </row>
    <row r="4" spans="1:28" ht="18.95" customHeight="1" x14ac:dyDescent="0.3">
      <c r="A4" s="21" t="s">
        <v>155</v>
      </c>
      <c r="B4" s="207" t="s">
        <v>150</v>
      </c>
      <c r="C4" s="22" t="s">
        <v>163</v>
      </c>
      <c r="D4" s="752"/>
      <c r="E4" s="752"/>
      <c r="F4" s="754"/>
      <c r="G4" s="752"/>
      <c r="H4" s="752"/>
      <c r="I4" s="752"/>
      <c r="J4" s="752"/>
      <c r="K4" s="752"/>
      <c r="L4" s="752"/>
      <c r="M4" s="760"/>
      <c r="N4" s="453"/>
      <c r="O4" s="506" t="s">
        <v>229</v>
      </c>
      <c r="P4" s="504">
        <f>N10</f>
        <v>2600000</v>
      </c>
      <c r="Q4" s="504"/>
      <c r="R4" s="504"/>
      <c r="S4" s="504"/>
      <c r="T4" s="507"/>
      <c r="U4" s="625">
        <f t="shared" si="0"/>
        <v>2600000</v>
      </c>
      <c r="V4" s="457" t="s">
        <v>193</v>
      </c>
      <c r="W4" s="457">
        <f>P26+P31+P39</f>
        <v>71650000</v>
      </c>
      <c r="X4" s="457">
        <f>Q26+Q31+Q39</f>
        <v>7490160</v>
      </c>
      <c r="Y4" s="457">
        <f>R26+R31+R39</f>
        <v>33719800</v>
      </c>
      <c r="Z4" s="457">
        <f>S26+S31+S39</f>
        <v>20714360</v>
      </c>
      <c r="AA4" s="527"/>
      <c r="AB4" s="460">
        <f>SUM(W4:AA4)</f>
        <v>133574320</v>
      </c>
    </row>
    <row r="5" spans="1:28" s="211" customFormat="1" ht="16.5" customHeight="1" x14ac:dyDescent="0.3">
      <c r="A5" s="40" t="s">
        <v>204</v>
      </c>
      <c r="B5" s="123"/>
      <c r="C5" s="210"/>
      <c r="D5" s="609">
        <f>D6+D15+D23+D30+D37</f>
        <v>394370.28200000001</v>
      </c>
      <c r="E5" s="216">
        <f>E6+E15+E23+E29+E36</f>
        <v>390118.86499999999</v>
      </c>
      <c r="F5" s="214">
        <f>ROUNDUP(E5-D5,0)</f>
        <v>-4252</v>
      </c>
      <c r="G5" s="870" t="s">
        <v>396</v>
      </c>
      <c r="H5" s="871"/>
      <c r="I5" s="871"/>
      <c r="J5" s="871"/>
      <c r="K5" s="871"/>
      <c r="L5" s="871"/>
      <c r="M5" s="435">
        <f>G6+G15+G23+G29+G36</f>
        <v>390118865</v>
      </c>
      <c r="N5" s="461"/>
      <c r="O5" s="506" t="s">
        <v>230</v>
      </c>
      <c r="P5" s="504">
        <f>N13</f>
        <v>14000000</v>
      </c>
      <c r="Q5" s="504"/>
      <c r="R5" s="504"/>
      <c r="S5" s="504"/>
      <c r="T5" s="508"/>
      <c r="U5" s="625">
        <f t="shared" si="0"/>
        <v>14000000</v>
      </c>
      <c r="V5" s="457" t="s">
        <v>183</v>
      </c>
      <c r="W5" s="457">
        <f>P44</f>
        <v>0</v>
      </c>
      <c r="X5" s="457">
        <f>Q44</f>
        <v>1000000</v>
      </c>
      <c r="Y5" s="457">
        <f>R44</f>
        <v>1000000</v>
      </c>
      <c r="Z5" s="457">
        <f>S44</f>
        <v>0</v>
      </c>
      <c r="AA5" s="528"/>
      <c r="AB5" s="460">
        <f t="shared" ref="AB5:AB10" si="1">SUM(W5:AA5)</f>
        <v>2000000</v>
      </c>
    </row>
    <row r="6" spans="1:28" s="220" customFormat="1" ht="16.5" customHeight="1" x14ac:dyDescent="0.3">
      <c r="A6" s="217" t="s">
        <v>194</v>
      </c>
      <c r="B6" s="218" t="s">
        <v>159</v>
      </c>
      <c r="C6" s="270"/>
      <c r="D6" s="219">
        <f>80615020*0.001</f>
        <v>80615.02</v>
      </c>
      <c r="E6" s="216">
        <f>G6*0.001</f>
        <v>74600</v>
      </c>
      <c r="F6" s="214">
        <f>E6-D6</f>
        <v>-6015.0200000000041</v>
      </c>
      <c r="G6" s="858">
        <f>G7</f>
        <v>74600000</v>
      </c>
      <c r="H6" s="859"/>
      <c r="I6" s="859"/>
      <c r="J6" s="859"/>
      <c r="K6" s="859"/>
      <c r="L6" s="859"/>
      <c r="M6" s="860"/>
      <c r="N6" s="463"/>
      <c r="O6" s="506" t="s">
        <v>231</v>
      </c>
      <c r="P6" s="506"/>
      <c r="Q6" s="506">
        <v>7300000</v>
      </c>
      <c r="R6" s="506"/>
      <c r="S6" s="509">
        <v>25200000</v>
      </c>
      <c r="T6" s="537">
        <f>M20</f>
        <v>25000000</v>
      </c>
      <c r="U6" s="625">
        <f>SUM(P6:T6)</f>
        <v>57500000</v>
      </c>
      <c r="V6" s="457" t="s">
        <v>184</v>
      </c>
      <c r="W6" s="457">
        <f>P59</f>
        <v>2950000</v>
      </c>
      <c r="X6" s="457">
        <f>Q59</f>
        <v>22370000</v>
      </c>
      <c r="Y6" s="457">
        <f>R59</f>
        <v>1000000</v>
      </c>
      <c r="Z6" s="457">
        <f>S59</f>
        <v>4485640</v>
      </c>
      <c r="AA6" s="570">
        <v>10000000</v>
      </c>
      <c r="AB6" s="460">
        <f t="shared" si="1"/>
        <v>40805640</v>
      </c>
    </row>
    <row r="7" spans="1:28" ht="16.5" customHeight="1" x14ac:dyDescent="0.3">
      <c r="A7" s="23"/>
      <c r="B7" s="272" t="s">
        <v>194</v>
      </c>
      <c r="C7" s="25"/>
      <c r="D7" s="571">
        <f>80615020*0.001</f>
        <v>80615.02</v>
      </c>
      <c r="E7" s="135">
        <f>G7*0.001</f>
        <v>74600</v>
      </c>
      <c r="F7" s="73">
        <f>E7-D7</f>
        <v>-6015.0200000000041</v>
      </c>
      <c r="G7" s="858">
        <f>M9+M11+M12+M14</f>
        <v>74600000</v>
      </c>
      <c r="H7" s="859"/>
      <c r="I7" s="859"/>
      <c r="J7" s="859"/>
      <c r="K7" s="859"/>
      <c r="L7" s="859"/>
      <c r="M7" s="860"/>
      <c r="N7" s="453"/>
      <c r="O7" s="506" t="s">
        <v>232</v>
      </c>
      <c r="P7" s="506"/>
      <c r="Q7" s="506">
        <f>M22</f>
        <v>36000000</v>
      </c>
      <c r="R7" s="506"/>
      <c r="S7" s="506"/>
      <c r="T7" s="507"/>
      <c r="U7" s="625">
        <f t="shared" si="0"/>
        <v>36000000</v>
      </c>
      <c r="V7" s="457" t="s">
        <v>185</v>
      </c>
      <c r="W7" s="457">
        <f>P63</f>
        <v>0</v>
      </c>
      <c r="X7" s="457">
        <f>Q63</f>
        <v>0</v>
      </c>
      <c r="Y7" s="457">
        <f>R63</f>
        <v>100000</v>
      </c>
      <c r="Z7" s="457">
        <f>S63</f>
        <v>0</v>
      </c>
      <c r="AA7" s="527"/>
      <c r="AB7" s="460">
        <f t="shared" si="1"/>
        <v>100000</v>
      </c>
    </row>
    <row r="8" spans="1:28" ht="16.5" customHeight="1" x14ac:dyDescent="0.3">
      <c r="A8" s="23"/>
      <c r="B8" s="25"/>
      <c r="C8" s="108" t="s">
        <v>57</v>
      </c>
      <c r="D8" s="571">
        <f>58015020*0.001</f>
        <v>58015.020000000004</v>
      </c>
      <c r="E8" s="135">
        <f>G8*0.001</f>
        <v>58000</v>
      </c>
      <c r="F8" s="73">
        <f>E8-D8</f>
        <v>-15.020000000004075</v>
      </c>
      <c r="G8" s="852">
        <f>M9</f>
        <v>58000000</v>
      </c>
      <c r="H8" s="853"/>
      <c r="I8" s="853"/>
      <c r="J8" s="853"/>
      <c r="K8" s="853"/>
      <c r="L8" s="853"/>
      <c r="M8" s="854"/>
      <c r="N8" s="613">
        <f>G8</f>
        <v>58000000</v>
      </c>
      <c r="O8" s="506" t="s">
        <v>196</v>
      </c>
      <c r="P8" s="506"/>
      <c r="Q8" s="506"/>
      <c r="R8" s="506">
        <f>G25</f>
        <v>31500000</v>
      </c>
      <c r="S8" s="506"/>
      <c r="T8" s="507"/>
      <c r="U8" s="625">
        <f t="shared" si="0"/>
        <v>31500000</v>
      </c>
      <c r="V8" s="457" t="s">
        <v>186</v>
      </c>
      <c r="W8" s="457">
        <f>P68</f>
        <v>0</v>
      </c>
      <c r="X8" s="457">
        <f>Q68</f>
        <v>2000000</v>
      </c>
      <c r="Y8" s="457">
        <f>R68</f>
        <v>0</v>
      </c>
      <c r="Z8" s="457">
        <f>S68</f>
        <v>0</v>
      </c>
      <c r="AA8" s="527"/>
      <c r="AB8" s="460">
        <f t="shared" si="1"/>
        <v>2000000</v>
      </c>
    </row>
    <row r="9" spans="1:28" s="76" customFormat="1" ht="16.5" customHeight="1" x14ac:dyDescent="0.3">
      <c r="A9" s="28"/>
      <c r="B9" s="438"/>
      <c r="C9" s="108"/>
      <c r="D9" s="571"/>
      <c r="E9" s="135"/>
      <c r="F9" s="73"/>
      <c r="G9" s="323" t="s">
        <v>40</v>
      </c>
      <c r="H9" s="324">
        <f>58000000</f>
        <v>58000000</v>
      </c>
      <c r="I9" s="325" t="s">
        <v>160</v>
      </c>
      <c r="J9" s="325">
        <v>1</v>
      </c>
      <c r="K9" s="325" t="s">
        <v>158</v>
      </c>
      <c r="L9" s="325" t="s">
        <v>164</v>
      </c>
      <c r="M9" s="432">
        <f>H9*J9</f>
        <v>58000000</v>
      </c>
      <c r="N9" s="614"/>
      <c r="O9" s="504" t="s">
        <v>233</v>
      </c>
      <c r="P9" s="504"/>
      <c r="Q9" s="504">
        <f>M32</f>
        <v>27583258</v>
      </c>
      <c r="R9" s="504"/>
      <c r="S9" s="504"/>
      <c r="T9" s="510"/>
      <c r="U9" s="625">
        <f t="shared" si="0"/>
        <v>27583258</v>
      </c>
      <c r="V9" s="457" t="s">
        <v>190</v>
      </c>
      <c r="W9" s="457">
        <f>P71</f>
        <v>0</v>
      </c>
      <c r="X9" s="457">
        <f t="shared" ref="X9:Y12" si="2">Q70</f>
        <v>28023098</v>
      </c>
      <c r="Y9" s="457">
        <f t="shared" si="2"/>
        <v>17329514</v>
      </c>
      <c r="Z9" s="457">
        <f>S74</f>
        <v>0</v>
      </c>
      <c r="AA9" s="529"/>
      <c r="AB9" s="460">
        <f t="shared" si="1"/>
        <v>45352612</v>
      </c>
    </row>
    <row r="10" spans="1:28" s="76" customFormat="1" ht="16.5" customHeight="1" x14ac:dyDescent="0.3">
      <c r="A10" s="28"/>
      <c r="B10" s="438"/>
      <c r="C10" s="108" t="s">
        <v>74</v>
      </c>
      <c r="D10" s="571">
        <f>2600000*0.001</f>
        <v>2600</v>
      </c>
      <c r="E10" s="135">
        <f>G10*0.001</f>
        <v>2600</v>
      </c>
      <c r="F10" s="73">
        <f>E10-D10</f>
        <v>0</v>
      </c>
      <c r="G10" s="852">
        <f>M11+M12</f>
        <v>2600000</v>
      </c>
      <c r="H10" s="853"/>
      <c r="I10" s="853"/>
      <c r="J10" s="853"/>
      <c r="K10" s="853"/>
      <c r="L10" s="853"/>
      <c r="M10" s="854"/>
      <c r="N10" s="615">
        <f>G10</f>
        <v>2600000</v>
      </c>
      <c r="O10" s="510" t="s">
        <v>234</v>
      </c>
      <c r="P10" s="510"/>
      <c r="Q10" s="510"/>
      <c r="R10" s="511">
        <f>M33</f>
        <v>16572234</v>
      </c>
      <c r="S10" s="510"/>
      <c r="T10" s="510"/>
      <c r="U10" s="512"/>
      <c r="V10" s="465" t="s">
        <v>235</v>
      </c>
      <c r="W10" s="457">
        <f>P70</f>
        <v>0</v>
      </c>
      <c r="X10" s="457">
        <f t="shared" si="2"/>
        <v>57216035</v>
      </c>
      <c r="Y10" s="457">
        <f t="shared" si="2"/>
        <v>13000000</v>
      </c>
      <c r="Z10" s="457"/>
      <c r="AA10" s="529"/>
      <c r="AB10" s="460">
        <f t="shared" si="1"/>
        <v>70216035</v>
      </c>
    </row>
    <row r="11" spans="1:28" s="76" customFormat="1" ht="16.5" customHeight="1" x14ac:dyDescent="0.3">
      <c r="A11" s="28"/>
      <c r="B11" s="438"/>
      <c r="C11" s="108"/>
      <c r="D11" s="571"/>
      <c r="E11" s="135"/>
      <c r="F11" s="73"/>
      <c r="G11" s="323" t="s">
        <v>69</v>
      </c>
      <c r="H11" s="324">
        <v>1000000</v>
      </c>
      <c r="I11" s="325" t="s">
        <v>160</v>
      </c>
      <c r="J11" s="325">
        <v>1</v>
      </c>
      <c r="K11" s="325" t="s">
        <v>158</v>
      </c>
      <c r="L11" s="325" t="s">
        <v>164</v>
      </c>
      <c r="M11" s="432">
        <f>H11*J11</f>
        <v>1000000</v>
      </c>
      <c r="N11" s="614"/>
      <c r="O11" s="504" t="s">
        <v>236</v>
      </c>
      <c r="P11" s="504"/>
      <c r="Q11" s="504"/>
      <c r="R11" s="504"/>
      <c r="S11" s="504"/>
      <c r="T11" s="510"/>
      <c r="U11" s="625">
        <f>SUM(P11:S11)</f>
        <v>0</v>
      </c>
      <c r="V11" s="465" t="s">
        <v>333</v>
      </c>
      <c r="W11" s="457">
        <f>P71</f>
        <v>0</v>
      </c>
      <c r="X11" s="457">
        <f t="shared" si="2"/>
        <v>60820258</v>
      </c>
      <c r="Y11" s="457">
        <f t="shared" si="2"/>
        <v>0</v>
      </c>
      <c r="Z11" s="457"/>
      <c r="AA11" s="529"/>
      <c r="AB11" s="460">
        <f t="shared" ref="AB11" si="3">SUM(W11:AA11)</f>
        <v>60820258</v>
      </c>
    </row>
    <row r="12" spans="1:28" s="76" customFormat="1" ht="16.5" customHeight="1" x14ac:dyDescent="0.3">
      <c r="A12" s="28"/>
      <c r="B12" s="438"/>
      <c r="C12" s="108"/>
      <c r="D12" s="571"/>
      <c r="E12" s="135"/>
      <c r="F12" s="73"/>
      <c r="G12" s="323" t="s">
        <v>72</v>
      </c>
      <c r="H12" s="324">
        <v>1600000</v>
      </c>
      <c r="I12" s="325" t="s">
        <v>160</v>
      </c>
      <c r="J12" s="325">
        <v>1</v>
      </c>
      <c r="K12" s="325" t="s">
        <v>158</v>
      </c>
      <c r="L12" s="325" t="s">
        <v>164</v>
      </c>
      <c r="M12" s="432">
        <f>H12*J12</f>
        <v>1600000</v>
      </c>
      <c r="N12" s="614"/>
      <c r="O12" s="510" t="s">
        <v>238</v>
      </c>
      <c r="P12" s="510"/>
      <c r="Q12" s="510"/>
      <c r="R12" s="510"/>
      <c r="S12" s="510"/>
      <c r="T12" s="510"/>
      <c r="U12" s="512"/>
      <c r="V12" s="530" t="s">
        <v>347</v>
      </c>
      <c r="W12" s="457">
        <f>P73</f>
        <v>0</v>
      </c>
      <c r="X12" s="457">
        <f t="shared" si="2"/>
        <v>5000000</v>
      </c>
      <c r="Y12" s="457">
        <f t="shared" si="2"/>
        <v>5250000</v>
      </c>
      <c r="Z12" s="457">
        <f>S73</f>
        <v>0</v>
      </c>
      <c r="AA12" s="457">
        <f>T73</f>
        <v>0</v>
      </c>
      <c r="AB12" s="457">
        <f>SUM(W12:AA12)</f>
        <v>10250000</v>
      </c>
    </row>
    <row r="13" spans="1:28" s="76" customFormat="1" ht="16.5" customHeight="1" x14ac:dyDescent="0.3">
      <c r="A13" s="28"/>
      <c r="B13" s="438"/>
      <c r="C13" s="25" t="s">
        <v>76</v>
      </c>
      <c r="D13" s="571">
        <f>20000000*0.001</f>
        <v>20000</v>
      </c>
      <c r="E13" s="135">
        <f>G13*0.001</f>
        <v>14000</v>
      </c>
      <c r="F13" s="73">
        <f>E13-D13</f>
        <v>-6000</v>
      </c>
      <c r="G13" s="864">
        <v>14000000</v>
      </c>
      <c r="H13" s="865"/>
      <c r="I13" s="865"/>
      <c r="J13" s="865"/>
      <c r="K13" s="865"/>
      <c r="L13" s="865"/>
      <c r="M13" s="866"/>
      <c r="N13" s="616">
        <f>G13</f>
        <v>14000000</v>
      </c>
      <c r="O13" s="504" t="s">
        <v>240</v>
      </c>
      <c r="P13" s="504"/>
      <c r="Q13" s="504">
        <f>M34</f>
        <v>123036293</v>
      </c>
      <c r="R13" s="504"/>
      <c r="S13" s="504"/>
      <c r="T13" s="510"/>
      <c r="U13" s="625">
        <f>SUM(P13:S13)</f>
        <v>123036293</v>
      </c>
      <c r="V13" s="530" t="s">
        <v>308</v>
      </c>
      <c r="W13" s="530"/>
      <c r="X13" s="457">
        <v>20000000</v>
      </c>
      <c r="Y13" s="604">
        <v>0</v>
      </c>
      <c r="Z13" s="530"/>
      <c r="AA13" s="530">
        <v>0</v>
      </c>
      <c r="AB13" s="460">
        <f>SUM(W13:AA13)</f>
        <v>20000000</v>
      </c>
    </row>
    <row r="14" spans="1:28" s="75" customFormat="1" ht="16.5" customHeight="1" x14ac:dyDescent="0.3">
      <c r="A14" s="27"/>
      <c r="B14" s="24"/>
      <c r="C14" s="25"/>
      <c r="D14" s="571"/>
      <c r="E14" s="135"/>
      <c r="F14" s="73"/>
      <c r="G14" s="326" t="s">
        <v>114</v>
      </c>
      <c r="H14" s="324">
        <v>14000000</v>
      </c>
      <c r="I14" s="325" t="s">
        <v>160</v>
      </c>
      <c r="J14" s="327">
        <v>1</v>
      </c>
      <c r="K14" s="327" t="s">
        <v>161</v>
      </c>
      <c r="L14" s="325" t="s">
        <v>164</v>
      </c>
      <c r="M14" s="432">
        <f>H14*J14</f>
        <v>14000000</v>
      </c>
      <c r="N14" s="466"/>
      <c r="O14" s="504" t="s">
        <v>242</v>
      </c>
      <c r="P14" s="504"/>
      <c r="Q14" s="504"/>
      <c r="R14" s="504">
        <f>M35</f>
        <v>22767080</v>
      </c>
      <c r="S14" s="504"/>
      <c r="T14" s="513"/>
      <c r="U14" s="625">
        <f>SUM(P14:S14)</f>
        <v>22767080</v>
      </c>
      <c r="V14" s="457" t="s">
        <v>237</v>
      </c>
      <c r="W14" s="457">
        <f>SUM(W4:W10)</f>
        <v>74600000</v>
      </c>
      <c r="X14" s="457">
        <f>SUM(X4:X13)+S80+T80</f>
        <v>254119551</v>
      </c>
      <c r="Y14" s="457">
        <f>SUM(Y4:Y13)</f>
        <v>71399314</v>
      </c>
      <c r="Z14" s="457"/>
      <c r="AA14" s="457"/>
      <c r="AB14" s="458">
        <f>SUM(W14:AA14)</f>
        <v>400118865</v>
      </c>
    </row>
    <row r="15" spans="1:28" s="212" customFormat="1" ht="16.5" customHeight="1" thickBot="1" x14ac:dyDescent="0.35">
      <c r="A15" s="221" t="s">
        <v>195</v>
      </c>
      <c r="B15" s="218" t="s">
        <v>159</v>
      </c>
      <c r="C15" s="270"/>
      <c r="D15" s="219">
        <f>113500000*0.001</f>
        <v>113500</v>
      </c>
      <c r="E15" s="216">
        <f>G15*0.001</f>
        <v>93500</v>
      </c>
      <c r="F15" s="214">
        <f t="shared" ref="F15:F22" si="4">E15-D15</f>
        <v>-20000</v>
      </c>
      <c r="G15" s="867">
        <f>G16</f>
        <v>93500000</v>
      </c>
      <c r="H15" s="868"/>
      <c r="I15" s="868"/>
      <c r="J15" s="868"/>
      <c r="K15" s="868"/>
      <c r="L15" s="868"/>
      <c r="M15" s="869"/>
      <c r="N15" s="461"/>
      <c r="O15" s="504" t="s">
        <v>198</v>
      </c>
      <c r="P15" s="606"/>
      <c r="Q15" s="504">
        <v>0</v>
      </c>
      <c r="R15" s="606">
        <v>560000</v>
      </c>
      <c r="S15" s="504"/>
      <c r="T15" s="508"/>
      <c r="U15" s="625">
        <f>SUM(P15:S15)</f>
        <v>560000</v>
      </c>
      <c r="V15" s="457" t="s">
        <v>239</v>
      </c>
      <c r="W15" s="457">
        <f>P16</f>
        <v>74600000</v>
      </c>
      <c r="X15" s="457">
        <f>Q16+S16+T16</f>
        <v>244119551</v>
      </c>
      <c r="Y15" s="457">
        <f>R16</f>
        <v>71399314</v>
      </c>
      <c r="Z15" s="457"/>
      <c r="AA15" s="457"/>
      <c r="AB15" s="458">
        <f>SUM(W15:AA15)</f>
        <v>390118865</v>
      </c>
    </row>
    <row r="16" spans="1:28" ht="16.5" customHeight="1" thickBot="1" x14ac:dyDescent="0.35">
      <c r="A16" s="26"/>
      <c r="B16" s="259" t="s">
        <v>195</v>
      </c>
      <c r="C16" s="25"/>
      <c r="D16" s="401">
        <f>113500000*0.001</f>
        <v>113500</v>
      </c>
      <c r="E16" s="135">
        <f>G16*0.001</f>
        <v>93500</v>
      </c>
      <c r="F16" s="73">
        <f t="shared" si="4"/>
        <v>-20000</v>
      </c>
      <c r="G16" s="861">
        <f>G17+G21</f>
        <v>93500000</v>
      </c>
      <c r="H16" s="862"/>
      <c r="I16" s="862"/>
      <c r="J16" s="862"/>
      <c r="K16" s="862"/>
      <c r="L16" s="862"/>
      <c r="M16" s="863"/>
      <c r="N16" s="453"/>
      <c r="O16" s="605" t="s">
        <v>226</v>
      </c>
      <c r="P16" s="617">
        <f>SUM(P3:P15)</f>
        <v>74600000</v>
      </c>
      <c r="Q16" s="607">
        <f>SUM(Q6:Q15)</f>
        <v>193919551</v>
      </c>
      <c r="R16" s="617">
        <f>SUM(R3:R15)</f>
        <v>71399314</v>
      </c>
      <c r="S16" s="515">
        <f>SUM(S3:S15)</f>
        <v>25200000</v>
      </c>
      <c r="T16" s="514">
        <f>SUM(T3:T15)</f>
        <v>25000000</v>
      </c>
      <c r="U16" s="626">
        <f>SUM(P16:T16)</f>
        <v>390118865</v>
      </c>
      <c r="V16" s="457" t="s">
        <v>241</v>
      </c>
      <c r="W16" s="457">
        <v>0</v>
      </c>
      <c r="X16" s="457">
        <f>X15-X14</f>
        <v>-10000000</v>
      </c>
      <c r="Y16" s="457">
        <f>Y15-Y14</f>
        <v>0</v>
      </c>
      <c r="Z16" s="457">
        <f>Z15-Z14</f>
        <v>0</v>
      </c>
      <c r="AA16" s="457">
        <f>AA15-AA14</f>
        <v>0</v>
      </c>
      <c r="AB16" s="457">
        <f>AB15-AB14</f>
        <v>-10000000</v>
      </c>
    </row>
    <row r="17" spans="1:44" s="77" customFormat="1" ht="16.5" customHeight="1" thickBot="1" x14ac:dyDescent="0.35">
      <c r="A17" s="437"/>
      <c r="B17" s="438"/>
      <c r="C17" s="108" t="s">
        <v>75</v>
      </c>
      <c r="D17" s="571">
        <f>77500000*0.001</f>
        <v>77500</v>
      </c>
      <c r="E17" s="439">
        <f>G17*0.001</f>
        <v>57500</v>
      </c>
      <c r="F17" s="73">
        <f t="shared" si="4"/>
        <v>-20000</v>
      </c>
      <c r="G17" s="855">
        <f>M18+M19+M20</f>
        <v>57500000</v>
      </c>
      <c r="H17" s="856"/>
      <c r="I17" s="856"/>
      <c r="J17" s="856"/>
      <c r="K17" s="856"/>
      <c r="L17" s="856"/>
      <c r="M17" s="857"/>
      <c r="N17" s="472"/>
      <c r="O17" s="469"/>
      <c r="P17" s="469" t="s">
        <v>315</v>
      </c>
      <c r="Q17" s="618">
        <f>Q16+S16+T16</f>
        <v>244119551</v>
      </c>
      <c r="R17" s="469"/>
      <c r="S17" s="469"/>
      <c r="T17" s="469"/>
      <c r="U17" s="473"/>
      <c r="V17" s="457"/>
      <c r="W17" s="457"/>
      <c r="X17" s="457">
        <f>X14-(Z4+Z6)-AA6</f>
        <v>218919551</v>
      </c>
      <c r="Y17" s="457"/>
      <c r="Z17" s="457"/>
      <c r="AA17" s="457"/>
      <c r="AB17" s="458"/>
    </row>
    <row r="18" spans="1:44" ht="16.5" customHeight="1" thickBot="1" x14ac:dyDescent="0.35">
      <c r="A18" s="26"/>
      <c r="B18" s="24"/>
      <c r="C18" s="25"/>
      <c r="D18" s="571"/>
      <c r="E18" s="135"/>
      <c r="F18" s="73">
        <f t="shared" si="4"/>
        <v>0</v>
      </c>
      <c r="G18" s="568" t="s">
        <v>341</v>
      </c>
      <c r="H18" s="328">
        <v>3250000</v>
      </c>
      <c r="I18" s="325" t="s">
        <v>160</v>
      </c>
      <c r="J18" s="327">
        <v>2</v>
      </c>
      <c r="K18" s="327" t="s">
        <v>161</v>
      </c>
      <c r="L18" s="325" t="s">
        <v>164</v>
      </c>
      <c r="M18" s="432">
        <f>H18*J18</f>
        <v>6500000</v>
      </c>
      <c r="N18" s="453"/>
      <c r="O18" s="368"/>
      <c r="P18" s="474" t="s">
        <v>243</v>
      </c>
      <c r="Q18" s="475">
        <f>Q16+T16</f>
        <v>218919551</v>
      </c>
      <c r="R18" s="608">
        <f>P16+Q17+R16</f>
        <v>390118865</v>
      </c>
      <c r="S18" s="368"/>
      <c r="T18" s="368"/>
      <c r="U18" s="452"/>
      <c r="V18" s="452"/>
      <c r="W18" s="452"/>
      <c r="X18" s="452"/>
      <c r="Y18" s="452"/>
      <c r="Z18" s="452"/>
      <c r="AA18" s="452"/>
      <c r="AB18" s="452"/>
    </row>
    <row r="19" spans="1:44" ht="16.5" customHeight="1" x14ac:dyDescent="0.3">
      <c r="A19" s="26"/>
      <c r="B19" s="24"/>
      <c r="C19" s="25"/>
      <c r="D19" s="571"/>
      <c r="E19" s="135"/>
      <c r="F19" s="73">
        <f t="shared" si="4"/>
        <v>0</v>
      </c>
      <c r="G19" s="329" t="s">
        <v>180</v>
      </c>
      <c r="H19" s="328">
        <v>26000000</v>
      </c>
      <c r="I19" s="325" t="s">
        <v>160</v>
      </c>
      <c r="J19" s="327">
        <v>1</v>
      </c>
      <c r="K19" s="327" t="s">
        <v>161</v>
      </c>
      <c r="L19" s="325" t="s">
        <v>164</v>
      </c>
      <c r="M19" s="432">
        <f>H19*J19</f>
        <v>26000000</v>
      </c>
      <c r="V19" s="452"/>
      <c r="W19" s="452"/>
      <c r="X19" s="452"/>
      <c r="Y19" s="452"/>
      <c r="Z19" s="452"/>
      <c r="AA19" s="452"/>
      <c r="AB19" s="452"/>
    </row>
    <row r="20" spans="1:44" ht="16.5" customHeight="1" x14ac:dyDescent="0.3">
      <c r="A20" s="26"/>
      <c r="B20" s="24"/>
      <c r="C20" s="25"/>
      <c r="D20" s="571"/>
      <c r="E20" s="135"/>
      <c r="F20" s="73">
        <f t="shared" ref="F20" si="5">E20-D20</f>
        <v>0</v>
      </c>
      <c r="G20" s="329" t="s">
        <v>310</v>
      </c>
      <c r="H20" s="328">
        <v>25000000</v>
      </c>
      <c r="I20" s="325" t="s">
        <v>160</v>
      </c>
      <c r="J20" s="327">
        <v>1</v>
      </c>
      <c r="K20" s="327" t="s">
        <v>161</v>
      </c>
      <c r="L20" s="325" t="s">
        <v>164</v>
      </c>
      <c r="M20" s="432">
        <f>H20*J20</f>
        <v>25000000</v>
      </c>
      <c r="N20" s="449" t="s">
        <v>244</v>
      </c>
      <c r="O20" s="476" t="s">
        <v>179</v>
      </c>
      <c r="P20" s="451" t="s">
        <v>223</v>
      </c>
      <c r="Q20" s="451" t="s">
        <v>224</v>
      </c>
      <c r="R20" s="451" t="s">
        <v>225</v>
      </c>
      <c r="S20" s="451" t="s">
        <v>180</v>
      </c>
      <c r="T20" s="451" t="s">
        <v>310</v>
      </c>
      <c r="U20" s="451" t="s">
        <v>226</v>
      </c>
      <c r="V20" s="452"/>
      <c r="W20" s="471" t="s">
        <v>349</v>
      </c>
      <c r="X20" s="452">
        <f>SUM(X4:X13)</f>
        <v>203919551</v>
      </c>
      <c r="Y20" s="452"/>
      <c r="Z20" s="452"/>
      <c r="AA20" s="452"/>
      <c r="AB20" s="452"/>
    </row>
    <row r="21" spans="1:44" ht="16.5" customHeight="1" x14ac:dyDescent="0.3">
      <c r="A21" s="26"/>
      <c r="B21" s="24"/>
      <c r="C21" s="25" t="s">
        <v>65</v>
      </c>
      <c r="D21" s="571">
        <f>36000000*0.001</f>
        <v>36000</v>
      </c>
      <c r="E21" s="135">
        <f>G21*0.001</f>
        <v>36000</v>
      </c>
      <c r="F21" s="73">
        <f t="shared" si="4"/>
        <v>0</v>
      </c>
      <c r="G21" s="852">
        <f>M22</f>
        <v>36000000</v>
      </c>
      <c r="H21" s="853"/>
      <c r="I21" s="853"/>
      <c r="J21" s="853"/>
      <c r="K21" s="853"/>
      <c r="L21" s="853"/>
      <c r="M21" s="854"/>
      <c r="N21" s="449"/>
      <c r="O21" s="454" t="s">
        <v>245</v>
      </c>
      <c r="P21" s="451">
        <f>N48</f>
        <v>51884800</v>
      </c>
      <c r="Q21" s="451"/>
      <c r="R21" s="451">
        <f>N49</f>
        <v>6800000</v>
      </c>
      <c r="S21" s="526">
        <f>M50</f>
        <v>14700000</v>
      </c>
      <c r="T21" s="455"/>
      <c r="U21" s="451">
        <f>SUM(P21:T21)</f>
        <v>73384800</v>
      </c>
      <c r="V21" s="452"/>
      <c r="W21" s="452"/>
      <c r="X21" s="452"/>
      <c r="Y21" s="452"/>
      <c r="Z21" s="452"/>
      <c r="AA21" s="452"/>
      <c r="AB21" s="452"/>
    </row>
    <row r="22" spans="1:44" s="75" customFormat="1" ht="16.5" customHeight="1" thickBot="1" x14ac:dyDescent="0.35">
      <c r="A22" s="27"/>
      <c r="B22" s="24"/>
      <c r="C22" s="25"/>
      <c r="D22" s="571"/>
      <c r="E22" s="135"/>
      <c r="F22" s="73">
        <f t="shared" si="4"/>
        <v>0</v>
      </c>
      <c r="G22" s="323" t="s">
        <v>65</v>
      </c>
      <c r="H22" s="328">
        <v>3000000</v>
      </c>
      <c r="I22" s="325" t="s">
        <v>160</v>
      </c>
      <c r="J22" s="327">
        <v>12</v>
      </c>
      <c r="K22" s="327" t="s">
        <v>161</v>
      </c>
      <c r="L22" s="325" t="s">
        <v>164</v>
      </c>
      <c r="M22" s="432">
        <f>H22*J22</f>
        <v>36000000</v>
      </c>
      <c r="N22" s="472"/>
      <c r="O22" s="454" t="s">
        <v>246</v>
      </c>
      <c r="P22" s="588">
        <f>M55+M58</f>
        <v>5508480</v>
      </c>
      <c r="Q22" s="451"/>
      <c r="R22" s="588">
        <f>M53+M56+M57+M59+N59</f>
        <v>14712000</v>
      </c>
      <c r="S22" s="451">
        <f>M54+3124800</f>
        <v>3824800</v>
      </c>
      <c r="T22" s="467"/>
      <c r="U22" s="451">
        <f>SUM(P22:T22)</f>
        <v>24045280</v>
      </c>
      <c r="V22" s="468"/>
      <c r="W22" s="468"/>
      <c r="X22" s="468"/>
      <c r="Y22" s="468"/>
      <c r="Z22" s="468"/>
      <c r="AA22" s="468"/>
      <c r="AB22" s="452"/>
    </row>
    <row r="23" spans="1:44" s="212" customFormat="1" ht="16.5" customHeight="1" thickBot="1" x14ac:dyDescent="0.35">
      <c r="A23" s="221" t="s">
        <v>196</v>
      </c>
      <c r="B23" s="218" t="s">
        <v>159</v>
      </c>
      <c r="C23" s="270"/>
      <c r="D23" s="219">
        <f>20800000*0.001</f>
        <v>20800</v>
      </c>
      <c r="E23" s="216">
        <f>E24</f>
        <v>31500</v>
      </c>
      <c r="F23" s="214">
        <f t="shared" ref="F23:F31" si="6">E23-D23</f>
        <v>10700</v>
      </c>
      <c r="G23" s="852">
        <f>G25</f>
        <v>31500000</v>
      </c>
      <c r="H23" s="853"/>
      <c r="I23" s="853"/>
      <c r="J23" s="853"/>
      <c r="K23" s="853"/>
      <c r="L23" s="853"/>
      <c r="M23" s="854"/>
      <c r="N23" s="453"/>
      <c r="O23" s="587" t="s">
        <v>247</v>
      </c>
      <c r="P23" s="592">
        <f>M63-100000</f>
        <v>3649440</v>
      </c>
      <c r="Q23" s="591"/>
      <c r="R23" s="590">
        <f>M64+99960+40-260400</f>
        <v>2226000</v>
      </c>
      <c r="S23" s="578">
        <v>260400</v>
      </c>
      <c r="T23" s="462"/>
      <c r="U23" s="451">
        <f t="shared" ref="U23:U25" si="7">SUM(P23:T23)</f>
        <v>6135840</v>
      </c>
      <c r="V23" s="469"/>
      <c r="W23" s="469"/>
      <c r="X23" s="469" t="s">
        <v>248</v>
      </c>
      <c r="Y23" s="469"/>
      <c r="Z23" s="469"/>
      <c r="AA23" s="469"/>
      <c r="AB23" s="452"/>
    </row>
    <row r="24" spans="1:44" s="75" customFormat="1" ht="16.5" customHeight="1" x14ac:dyDescent="0.3">
      <c r="A24" s="27"/>
      <c r="B24" s="259" t="s">
        <v>196</v>
      </c>
      <c r="C24" s="25"/>
      <c r="D24" s="571">
        <f>20800000*0.001</f>
        <v>20800</v>
      </c>
      <c r="E24" s="135">
        <f>E25</f>
        <v>31500</v>
      </c>
      <c r="F24" s="73">
        <f t="shared" si="6"/>
        <v>10700</v>
      </c>
      <c r="G24" s="852">
        <f>G25</f>
        <v>31500000</v>
      </c>
      <c r="H24" s="853"/>
      <c r="I24" s="853"/>
      <c r="J24" s="853"/>
      <c r="K24" s="853"/>
      <c r="L24" s="853"/>
      <c r="M24" s="854"/>
      <c r="N24" s="453"/>
      <c r="O24" s="451" t="s">
        <v>249</v>
      </c>
      <c r="P24" s="589">
        <f>AE48</f>
        <v>4560640</v>
      </c>
      <c r="Q24" s="454"/>
      <c r="R24" s="589">
        <f>AE49</f>
        <v>2781800</v>
      </c>
      <c r="S24" s="454">
        <f>AG50</f>
        <v>1929160</v>
      </c>
      <c r="T24" s="467"/>
      <c r="U24" s="451">
        <f>SUM(P24:T24)</f>
        <v>9271600</v>
      </c>
      <c r="V24" s="468"/>
      <c r="W24" s="468"/>
      <c r="X24" s="468"/>
      <c r="Y24" s="468"/>
      <c r="Z24" s="468"/>
      <c r="AA24" s="468"/>
      <c r="AB24" s="452"/>
    </row>
    <row r="25" spans="1:44" s="75" customFormat="1" ht="16.5" customHeight="1" x14ac:dyDescent="0.3">
      <c r="A25" s="27"/>
      <c r="B25" s="24"/>
      <c r="C25" s="25" t="s">
        <v>177</v>
      </c>
      <c r="D25" s="571">
        <f>20800000*0.001</f>
        <v>20800</v>
      </c>
      <c r="E25" s="135">
        <f>G25*0.001</f>
        <v>31500</v>
      </c>
      <c r="F25" s="73">
        <f t="shared" si="6"/>
        <v>10700</v>
      </c>
      <c r="G25" s="855">
        <f>M26+M27+M28</f>
        <v>31500000</v>
      </c>
      <c r="H25" s="856"/>
      <c r="I25" s="856"/>
      <c r="J25" s="856"/>
      <c r="K25" s="856"/>
      <c r="L25" s="856"/>
      <c r="M25" s="857"/>
      <c r="N25" s="453"/>
      <c r="O25" s="454" t="s">
        <v>250</v>
      </c>
      <c r="P25" s="454"/>
      <c r="Q25" s="454"/>
      <c r="R25" s="454">
        <f>G74</f>
        <v>1600000</v>
      </c>
      <c r="S25" s="454"/>
      <c r="T25" s="467"/>
      <c r="U25" s="451">
        <f t="shared" si="7"/>
        <v>1600000</v>
      </c>
      <c r="V25" s="468"/>
      <c r="W25" s="468"/>
      <c r="X25" s="468"/>
      <c r="Y25" s="468"/>
      <c r="Z25" s="468"/>
      <c r="AA25" s="468"/>
      <c r="AB25" s="452"/>
    </row>
    <row r="26" spans="1:44" s="75" customFormat="1" ht="16.5" customHeight="1" thickBot="1" x14ac:dyDescent="0.35">
      <c r="A26" s="27"/>
      <c r="B26" s="24"/>
      <c r="C26" s="25"/>
      <c r="D26" s="125"/>
      <c r="E26" s="135"/>
      <c r="F26" s="73">
        <f t="shared" si="6"/>
        <v>0</v>
      </c>
      <c r="G26" s="326" t="s">
        <v>66</v>
      </c>
      <c r="H26" s="328">
        <v>12000000</v>
      </c>
      <c r="I26" s="325" t="s">
        <v>160</v>
      </c>
      <c r="J26" s="327">
        <v>2</v>
      </c>
      <c r="K26" s="327" t="s">
        <v>161</v>
      </c>
      <c r="L26" s="325" t="s">
        <v>164</v>
      </c>
      <c r="M26" s="432">
        <f>H26*J26</f>
        <v>24000000</v>
      </c>
      <c r="N26" s="466"/>
      <c r="O26" s="477" t="s">
        <v>226</v>
      </c>
      <c r="P26" s="477">
        <f>SUM(P21:P25)</f>
        <v>65603360</v>
      </c>
      <c r="Q26" s="477">
        <f>SUM(Q21:Q25)</f>
        <v>0</v>
      </c>
      <c r="R26" s="477">
        <f>SUM(R21:R25)</f>
        <v>28119800</v>
      </c>
      <c r="S26" s="477">
        <f>SUM(S21:S25)</f>
        <v>20714360</v>
      </c>
      <c r="T26" s="467"/>
      <c r="U26" s="477">
        <f>SUM(P26:T26)</f>
        <v>114437520</v>
      </c>
      <c r="V26" s="468"/>
      <c r="W26" s="468"/>
      <c r="X26" s="468"/>
      <c r="Y26" s="468"/>
      <c r="Z26" s="468"/>
      <c r="AA26" s="468"/>
      <c r="AB26" s="452"/>
    </row>
    <row r="27" spans="1:44" s="75" customFormat="1" ht="16.5" customHeight="1" x14ac:dyDescent="0.3">
      <c r="A27" s="27"/>
      <c r="B27" s="24"/>
      <c r="C27" s="25"/>
      <c r="D27" s="125"/>
      <c r="E27" s="135"/>
      <c r="F27" s="73">
        <f t="shared" si="6"/>
        <v>0</v>
      </c>
      <c r="G27" s="663" t="s">
        <v>362</v>
      </c>
      <c r="H27" s="328">
        <v>5000000</v>
      </c>
      <c r="I27" s="325" t="s">
        <v>160</v>
      </c>
      <c r="J27" s="327">
        <v>1</v>
      </c>
      <c r="K27" s="327" t="s">
        <v>161</v>
      </c>
      <c r="L27" s="325" t="s">
        <v>164</v>
      </c>
      <c r="M27" s="432">
        <f>H27*J27</f>
        <v>5000000</v>
      </c>
      <c r="N27" s="461"/>
      <c r="O27" s="451"/>
      <c r="P27" s="451"/>
      <c r="Q27" s="451"/>
      <c r="R27" s="451"/>
      <c r="S27" s="451"/>
      <c r="T27" s="467"/>
      <c r="U27" s="451"/>
      <c r="V27" s="468"/>
      <c r="W27" s="683" t="s">
        <v>371</v>
      </c>
      <c r="X27" s="684"/>
      <c r="Y27" s="684"/>
      <c r="Z27" s="684"/>
      <c r="AA27" s="684"/>
      <c r="AB27" s="684"/>
      <c r="AC27" s="684"/>
      <c r="AD27" s="684" t="s">
        <v>372</v>
      </c>
      <c r="AE27" s="684"/>
      <c r="AF27" s="684"/>
      <c r="AG27" s="684"/>
      <c r="AH27" s="684"/>
      <c r="AI27" s="684"/>
      <c r="AJ27" s="684"/>
      <c r="AK27" s="684" t="s">
        <v>373</v>
      </c>
      <c r="AL27" s="684"/>
      <c r="AM27" s="684"/>
      <c r="AN27" s="684"/>
      <c r="AO27" s="684"/>
      <c r="AP27" s="684"/>
      <c r="AQ27" s="684"/>
      <c r="AR27" s="685"/>
    </row>
    <row r="28" spans="1:44" s="75" customFormat="1" ht="16.5" customHeight="1" x14ac:dyDescent="0.3">
      <c r="A28" s="27"/>
      <c r="B28" s="24"/>
      <c r="C28" s="25"/>
      <c r="D28" s="125"/>
      <c r="E28" s="135"/>
      <c r="F28" s="73">
        <f t="shared" si="6"/>
        <v>0</v>
      </c>
      <c r="G28" s="326" t="s">
        <v>111</v>
      </c>
      <c r="H28" s="328">
        <v>2500000</v>
      </c>
      <c r="I28" s="325" t="s">
        <v>160</v>
      </c>
      <c r="J28" s="327">
        <v>1</v>
      </c>
      <c r="K28" s="327" t="s">
        <v>161</v>
      </c>
      <c r="L28" s="325" t="s">
        <v>164</v>
      </c>
      <c r="M28" s="432">
        <f>H28*J28</f>
        <v>2500000</v>
      </c>
      <c r="N28" s="466"/>
      <c r="O28" s="478" t="s">
        <v>181</v>
      </c>
      <c r="P28" s="451" t="s">
        <v>223</v>
      </c>
      <c r="Q28" s="451" t="s">
        <v>224</v>
      </c>
      <c r="R28" s="451" t="s">
        <v>225</v>
      </c>
      <c r="S28" s="451" t="s">
        <v>180</v>
      </c>
      <c r="T28" s="467"/>
      <c r="U28" s="451" t="s">
        <v>226</v>
      </c>
      <c r="V28" s="468"/>
      <c r="W28" s="686"/>
      <c r="X28" s="687"/>
      <c r="Y28" s="687"/>
      <c r="Z28" s="687"/>
      <c r="AA28" s="687"/>
      <c r="AB28" s="687"/>
      <c r="AC28" s="687"/>
      <c r="AD28" s="687" t="s">
        <v>374</v>
      </c>
      <c r="AE28" s="687"/>
      <c r="AF28" s="687"/>
      <c r="AG28" s="687"/>
      <c r="AH28" s="687"/>
      <c r="AI28" s="687"/>
      <c r="AJ28" s="687"/>
      <c r="AK28" s="687" t="s">
        <v>375</v>
      </c>
      <c r="AL28" s="687"/>
      <c r="AM28" s="687"/>
      <c r="AN28" s="687"/>
      <c r="AO28" s="687"/>
      <c r="AP28" s="687"/>
      <c r="AQ28" s="687"/>
      <c r="AR28" s="688"/>
    </row>
    <row r="29" spans="1:44" s="222" customFormat="1" ht="16.5" customHeight="1" x14ac:dyDescent="0.3">
      <c r="A29" s="221" t="s">
        <v>197</v>
      </c>
      <c r="B29" s="218" t="s">
        <v>159</v>
      </c>
      <c r="C29" s="270"/>
      <c r="D29" s="219">
        <f>178895262*0.001</f>
        <v>178895.26200000002</v>
      </c>
      <c r="E29" s="216">
        <f>E30</f>
        <v>189958.86499999999</v>
      </c>
      <c r="F29" s="214">
        <f t="shared" si="6"/>
        <v>11063.602999999974</v>
      </c>
      <c r="G29" s="842">
        <f>G31</f>
        <v>189958865</v>
      </c>
      <c r="H29" s="843"/>
      <c r="I29" s="843"/>
      <c r="J29" s="843"/>
      <c r="K29" s="843"/>
      <c r="L29" s="843"/>
      <c r="M29" s="844"/>
      <c r="N29" s="466"/>
      <c r="O29" s="479" t="s">
        <v>251</v>
      </c>
      <c r="P29" s="479">
        <v>0</v>
      </c>
      <c r="Q29" s="479">
        <v>0</v>
      </c>
      <c r="R29" s="479">
        <f>G79</f>
        <v>4200000</v>
      </c>
      <c r="S29" s="479">
        <v>0</v>
      </c>
      <c r="T29" s="480"/>
      <c r="U29" s="451">
        <f t="shared" ref="U29:U31" si="8">SUM(P29:T29)</f>
        <v>4200000</v>
      </c>
      <c r="V29" s="481"/>
      <c r="W29" s="689">
        <f>14700000+700000</f>
        <v>15400000</v>
      </c>
      <c r="X29" s="674" t="s">
        <v>160</v>
      </c>
      <c r="Y29" s="552">
        <v>3.5449999999999999</v>
      </c>
      <c r="Z29" s="674" t="s">
        <v>151</v>
      </c>
      <c r="AA29" s="674" t="s">
        <v>164</v>
      </c>
      <c r="AB29" s="675">
        <f>ROUNDDOWN(W29*Y29%,-1)</f>
        <v>545930</v>
      </c>
      <c r="AC29" s="687"/>
      <c r="AD29" s="676">
        <f>38284800+3828480+1680000</f>
        <v>43793280</v>
      </c>
      <c r="AE29" s="677" t="s">
        <v>160</v>
      </c>
      <c r="AF29" s="677">
        <v>3.5449999999999999</v>
      </c>
      <c r="AG29" s="677" t="s">
        <v>151</v>
      </c>
      <c r="AH29" s="677" t="s">
        <v>164</v>
      </c>
      <c r="AI29" s="677">
        <f>ROUNDDOWN(AD29*AF29%,-1)</f>
        <v>1552470</v>
      </c>
      <c r="AJ29" s="687"/>
      <c r="AK29" s="576">
        <v>13600000</v>
      </c>
      <c r="AL29" s="674" t="s">
        <v>160</v>
      </c>
      <c r="AM29" s="552">
        <v>3.5449999999999999</v>
      </c>
      <c r="AN29" s="674" t="s">
        <v>151</v>
      </c>
      <c r="AO29" s="674" t="s">
        <v>164</v>
      </c>
      <c r="AP29" s="675">
        <f>ROUNDDOWN(AK29*AM29%,-1)</f>
        <v>482120</v>
      </c>
      <c r="AQ29" s="687"/>
      <c r="AR29" s="688"/>
    </row>
    <row r="30" spans="1:44" s="75" customFormat="1" ht="16.5" customHeight="1" x14ac:dyDescent="0.3">
      <c r="A30" s="26"/>
      <c r="B30" s="259" t="s">
        <v>197</v>
      </c>
      <c r="C30" s="25"/>
      <c r="D30" s="571">
        <f>178895262*0.001</f>
        <v>178895.26200000002</v>
      </c>
      <c r="E30" s="135">
        <f>189958865*0.001</f>
        <v>189958.86499999999</v>
      </c>
      <c r="F30" s="73">
        <f t="shared" si="6"/>
        <v>11063.602999999974</v>
      </c>
      <c r="G30" s="849">
        <f>G31</f>
        <v>189958865</v>
      </c>
      <c r="H30" s="850"/>
      <c r="I30" s="850"/>
      <c r="J30" s="850"/>
      <c r="K30" s="850"/>
      <c r="L30" s="850"/>
      <c r="M30" s="851"/>
      <c r="N30" s="466"/>
      <c r="O30" s="454" t="s">
        <v>252</v>
      </c>
      <c r="P30" s="454">
        <f>SUM(P27)</f>
        <v>0</v>
      </c>
      <c r="Q30" s="454">
        <f>SUM(Q27)</f>
        <v>0</v>
      </c>
      <c r="R30" s="454">
        <f>G82</f>
        <v>1200000</v>
      </c>
      <c r="S30" s="454">
        <f>SUM(S27)</f>
        <v>0</v>
      </c>
      <c r="T30" s="467"/>
      <c r="U30" s="451">
        <f t="shared" si="8"/>
        <v>1200000</v>
      </c>
      <c r="V30" s="468"/>
      <c r="W30" s="689">
        <v>545930</v>
      </c>
      <c r="X30" s="674" t="s">
        <v>160</v>
      </c>
      <c r="Y30" s="555">
        <v>12.95</v>
      </c>
      <c r="Z30" s="674" t="s">
        <v>151</v>
      </c>
      <c r="AA30" s="674" t="s">
        <v>164</v>
      </c>
      <c r="AB30" s="675">
        <f>ROUNDDOWN(W30*Y30%,-1)</f>
        <v>70690</v>
      </c>
      <c r="AC30" s="687"/>
      <c r="AD30" s="676">
        <v>1552470</v>
      </c>
      <c r="AE30" s="677" t="s">
        <v>160</v>
      </c>
      <c r="AF30" s="678">
        <v>12.95</v>
      </c>
      <c r="AG30" s="677" t="s">
        <v>151</v>
      </c>
      <c r="AH30" s="677" t="s">
        <v>164</v>
      </c>
      <c r="AI30" s="677">
        <f>ROUNDDOWN(AD30*AF30%,-1)</f>
        <v>201040</v>
      </c>
      <c r="AJ30" s="687"/>
      <c r="AK30" s="576">
        <v>482120</v>
      </c>
      <c r="AL30" s="674" t="s">
        <v>160</v>
      </c>
      <c r="AM30" s="555">
        <v>12.95</v>
      </c>
      <c r="AN30" s="674" t="s">
        <v>151</v>
      </c>
      <c r="AO30" s="674" t="s">
        <v>164</v>
      </c>
      <c r="AP30" s="675">
        <f>ROUNDDOWN(AK30*AM30%,-1)</f>
        <v>62430</v>
      </c>
      <c r="AQ30" s="687"/>
      <c r="AR30" s="688"/>
    </row>
    <row r="31" spans="1:44" s="75" customFormat="1" ht="16.5" customHeight="1" x14ac:dyDescent="0.3">
      <c r="A31" s="27"/>
      <c r="B31" s="24"/>
      <c r="C31" s="25" t="s">
        <v>22</v>
      </c>
      <c r="D31" s="571">
        <f>178895262*0.001</f>
        <v>178895.26200000002</v>
      </c>
      <c r="E31" s="135">
        <f>G31*0.001</f>
        <v>189958.86499999999</v>
      </c>
      <c r="F31" s="73">
        <f t="shared" si="6"/>
        <v>11063.602999999974</v>
      </c>
      <c r="G31" s="834">
        <f>M32+M33+M34+M35</f>
        <v>189958865</v>
      </c>
      <c r="H31" s="835"/>
      <c r="I31" s="835"/>
      <c r="J31" s="835"/>
      <c r="K31" s="835"/>
      <c r="L31" s="835"/>
      <c r="M31" s="836"/>
      <c r="N31" s="466"/>
      <c r="O31" s="477" t="s">
        <v>226</v>
      </c>
      <c r="P31" s="477">
        <f>SUM(P28)</f>
        <v>0</v>
      </c>
      <c r="Q31" s="477">
        <f>SUM(Q28)</f>
        <v>0</v>
      </c>
      <c r="R31" s="477">
        <f>SUM(R29:R30)</f>
        <v>5400000</v>
      </c>
      <c r="S31" s="477">
        <f>SUM(S28)</f>
        <v>0</v>
      </c>
      <c r="T31" s="467"/>
      <c r="U31" s="470">
        <f t="shared" si="8"/>
        <v>5400000</v>
      </c>
      <c r="V31" s="468"/>
      <c r="W31" s="689">
        <f>14700000+700000</f>
        <v>15400000</v>
      </c>
      <c r="X31" s="674" t="s">
        <v>160</v>
      </c>
      <c r="Y31" s="556">
        <v>4.5</v>
      </c>
      <c r="Z31" s="674" t="s">
        <v>151</v>
      </c>
      <c r="AA31" s="674" t="s">
        <v>164</v>
      </c>
      <c r="AB31" s="675">
        <f t="shared" ref="AB31:AB32" si="9">ROUNDDOWN(W31*Y31%,-1)</f>
        <v>693000</v>
      </c>
      <c r="AC31" s="687"/>
      <c r="AD31" s="676">
        <f>38284800+3828480+1680000</f>
        <v>43793280</v>
      </c>
      <c r="AE31" s="677" t="s">
        <v>160</v>
      </c>
      <c r="AF31" s="677">
        <v>4.5</v>
      </c>
      <c r="AG31" s="677" t="s">
        <v>151</v>
      </c>
      <c r="AH31" s="677" t="s">
        <v>164</v>
      </c>
      <c r="AI31" s="677">
        <f t="shared" ref="AI31:AI32" si="10">ROUNDDOWN(AD31*AF31%,-1)</f>
        <v>1970690</v>
      </c>
      <c r="AJ31" s="687"/>
      <c r="AK31" s="576">
        <v>13600000</v>
      </c>
      <c r="AL31" s="674" t="s">
        <v>160</v>
      </c>
      <c r="AM31" s="556">
        <v>4.5</v>
      </c>
      <c r="AN31" s="674" t="s">
        <v>151</v>
      </c>
      <c r="AO31" s="674" t="s">
        <v>164</v>
      </c>
      <c r="AP31" s="675">
        <f t="shared" ref="AP31:AP32" si="11">ROUNDDOWN(AK31*AM31%,-1)</f>
        <v>612000</v>
      </c>
      <c r="AQ31" s="687"/>
      <c r="AR31" s="688"/>
    </row>
    <row r="32" spans="1:44" s="367" customFormat="1" ht="16.5" customHeight="1" x14ac:dyDescent="0.3">
      <c r="A32" s="369"/>
      <c r="B32" s="370"/>
      <c r="C32" s="371"/>
      <c r="D32" s="571"/>
      <c r="E32" s="372"/>
      <c r="F32" s="373"/>
      <c r="G32" s="374" t="s">
        <v>77</v>
      </c>
      <c r="H32" s="375">
        <v>27583258</v>
      </c>
      <c r="I32" s="376" t="s">
        <v>160</v>
      </c>
      <c r="J32" s="376">
        <v>1</v>
      </c>
      <c r="K32" s="376" t="s">
        <v>161</v>
      </c>
      <c r="L32" s="376" t="s">
        <v>164</v>
      </c>
      <c r="M32" s="377">
        <f t="shared" ref="M32:M33" si="12">H32*J32</f>
        <v>27583258</v>
      </c>
      <c r="N32" s="466"/>
      <c r="O32" s="459"/>
      <c r="P32" s="459"/>
      <c r="Q32" s="459"/>
      <c r="R32" s="459"/>
      <c r="S32" s="459"/>
      <c r="T32" s="464"/>
      <c r="U32" s="454"/>
      <c r="V32" s="483"/>
      <c r="W32" s="689">
        <f>14700000+700000</f>
        <v>15400000</v>
      </c>
      <c r="X32" s="674" t="s">
        <v>160</v>
      </c>
      <c r="Y32" s="556">
        <v>1.1499999999999999</v>
      </c>
      <c r="Z32" s="674" t="s">
        <v>151</v>
      </c>
      <c r="AA32" s="674" t="s">
        <v>164</v>
      </c>
      <c r="AB32" s="675">
        <f t="shared" si="9"/>
        <v>177100</v>
      </c>
      <c r="AC32" s="687"/>
      <c r="AD32" s="676">
        <f>38284800+3828480+1680000</f>
        <v>43793280</v>
      </c>
      <c r="AE32" s="677" t="s">
        <v>160</v>
      </c>
      <c r="AF32" s="677">
        <v>1.1499999999999999</v>
      </c>
      <c r="AG32" s="677" t="s">
        <v>151</v>
      </c>
      <c r="AH32" s="677" t="s">
        <v>164</v>
      </c>
      <c r="AI32" s="677">
        <f t="shared" si="10"/>
        <v>503620</v>
      </c>
      <c r="AJ32" s="687"/>
      <c r="AK32" s="576">
        <v>13600000</v>
      </c>
      <c r="AL32" s="674" t="s">
        <v>160</v>
      </c>
      <c r="AM32" s="556">
        <v>1.1499999999999999</v>
      </c>
      <c r="AN32" s="674" t="s">
        <v>151</v>
      </c>
      <c r="AO32" s="674" t="s">
        <v>164</v>
      </c>
      <c r="AP32" s="675">
        <f t="shared" si="11"/>
        <v>156400</v>
      </c>
      <c r="AQ32" s="687"/>
      <c r="AR32" s="688"/>
    </row>
    <row r="33" spans="1:44" s="367" customFormat="1" ht="16.5" customHeight="1" x14ac:dyDescent="0.3">
      <c r="A33" s="369"/>
      <c r="B33" s="370"/>
      <c r="C33" s="371"/>
      <c r="D33" s="571"/>
      <c r="E33" s="372"/>
      <c r="F33" s="373"/>
      <c r="G33" s="330" t="s">
        <v>217</v>
      </c>
      <c r="H33" s="378">
        <v>16572234</v>
      </c>
      <c r="I33" s="376" t="s">
        <v>160</v>
      </c>
      <c r="J33" s="376">
        <v>1</v>
      </c>
      <c r="K33" s="376" t="s">
        <v>161</v>
      </c>
      <c r="L33" s="376" t="s">
        <v>164</v>
      </c>
      <c r="M33" s="377">
        <f t="shared" si="12"/>
        <v>16572234</v>
      </c>
      <c r="N33" s="482"/>
      <c r="O33" s="478" t="s">
        <v>182</v>
      </c>
      <c r="P33" s="451" t="s">
        <v>223</v>
      </c>
      <c r="Q33" s="451" t="s">
        <v>224</v>
      </c>
      <c r="R33" s="451" t="s">
        <v>225</v>
      </c>
      <c r="S33" s="451" t="s">
        <v>180</v>
      </c>
      <c r="T33" s="464"/>
      <c r="U33" s="451" t="s">
        <v>226</v>
      </c>
      <c r="V33" s="483"/>
      <c r="W33" s="689">
        <f>14700000+700000</f>
        <v>15400000</v>
      </c>
      <c r="X33" s="674" t="s">
        <v>160</v>
      </c>
      <c r="Y33" s="556">
        <v>0.76</v>
      </c>
      <c r="Z33" s="674" t="s">
        <v>151</v>
      </c>
      <c r="AA33" s="674" t="s">
        <v>164</v>
      </c>
      <c r="AB33" s="675">
        <f>ROUNDDOWN(W33*Y33%,-1)</f>
        <v>117040</v>
      </c>
      <c r="AC33" s="687"/>
      <c r="AD33" s="676">
        <f>38284800+3828480+1680000</f>
        <v>43793280</v>
      </c>
      <c r="AE33" s="677" t="s">
        <v>160</v>
      </c>
      <c r="AF33" s="677">
        <v>0.76</v>
      </c>
      <c r="AG33" s="677" t="s">
        <v>151</v>
      </c>
      <c r="AH33" s="677" t="s">
        <v>164</v>
      </c>
      <c r="AI33" s="677">
        <f>ROUNDDOWN(AD33*AF33%,-1)</f>
        <v>332820</v>
      </c>
      <c r="AJ33" s="687"/>
      <c r="AK33" s="576">
        <v>13600000</v>
      </c>
      <c r="AL33" s="674" t="s">
        <v>160</v>
      </c>
      <c r="AM33" s="556">
        <v>0.76</v>
      </c>
      <c r="AN33" s="674" t="s">
        <v>151</v>
      </c>
      <c r="AO33" s="674" t="s">
        <v>164</v>
      </c>
      <c r="AP33" s="675">
        <f>ROUNDDOWN(AK33*AM33%,-1)</f>
        <v>103360</v>
      </c>
      <c r="AQ33" s="687"/>
      <c r="AR33" s="688"/>
    </row>
    <row r="34" spans="1:44" s="367" customFormat="1" ht="16.5" customHeight="1" x14ac:dyDescent="0.3">
      <c r="A34" s="369"/>
      <c r="B34" s="370"/>
      <c r="C34" s="371"/>
      <c r="D34" s="571"/>
      <c r="E34" s="372"/>
      <c r="F34" s="373"/>
      <c r="G34" s="330" t="s">
        <v>214</v>
      </c>
      <c r="H34" s="378">
        <v>123036293</v>
      </c>
      <c r="I34" s="376" t="s">
        <v>160</v>
      </c>
      <c r="J34" s="376">
        <v>1</v>
      </c>
      <c r="K34" s="376" t="s">
        <v>161</v>
      </c>
      <c r="L34" s="376" t="s">
        <v>164</v>
      </c>
      <c r="M34" s="377">
        <f t="shared" ref="M34" si="13">H34*J34</f>
        <v>123036293</v>
      </c>
      <c r="N34" s="466"/>
      <c r="O34" s="454" t="s">
        <v>253</v>
      </c>
      <c r="P34" s="454">
        <v>100000</v>
      </c>
      <c r="Q34" s="454">
        <v>1420000</v>
      </c>
      <c r="R34" s="454"/>
      <c r="S34" s="454"/>
      <c r="T34" s="464"/>
      <c r="U34" s="451">
        <f>SUM(P34:T34)</f>
        <v>1520000</v>
      </c>
      <c r="V34" s="483"/>
      <c r="W34" s="689"/>
      <c r="X34" s="674" t="s">
        <v>160</v>
      </c>
      <c r="Y34" s="674">
        <v>1</v>
      </c>
      <c r="Z34" s="674" t="s">
        <v>309</v>
      </c>
      <c r="AA34" s="674" t="s">
        <v>164</v>
      </c>
      <c r="AB34" s="675">
        <f>W34*Y34</f>
        <v>0</v>
      </c>
      <c r="AC34" s="687"/>
      <c r="AD34" s="676"/>
      <c r="AE34" s="677" t="s">
        <v>160</v>
      </c>
      <c r="AF34" s="677">
        <v>1</v>
      </c>
      <c r="AG34" s="677" t="s">
        <v>309</v>
      </c>
      <c r="AH34" s="677" t="s">
        <v>164</v>
      </c>
      <c r="AI34" s="677">
        <f>AD34*AF34</f>
        <v>0</v>
      </c>
      <c r="AJ34" s="687"/>
      <c r="AK34" s="576"/>
      <c r="AL34" s="674" t="s">
        <v>160</v>
      </c>
      <c r="AM34" s="674">
        <v>1</v>
      </c>
      <c r="AN34" s="674" t="s">
        <v>309</v>
      </c>
      <c r="AO34" s="674" t="s">
        <v>164</v>
      </c>
      <c r="AP34" s="675">
        <f>AK34*AM34</f>
        <v>0</v>
      </c>
      <c r="AQ34" s="687"/>
      <c r="AR34" s="688"/>
    </row>
    <row r="35" spans="1:44" s="367" customFormat="1" ht="14.25" customHeight="1" x14ac:dyDescent="0.3">
      <c r="A35" s="379"/>
      <c r="B35" s="380"/>
      <c r="C35" s="381"/>
      <c r="D35" s="610"/>
      <c r="E35" s="382"/>
      <c r="F35" s="383"/>
      <c r="G35" s="330" t="s">
        <v>314</v>
      </c>
      <c r="H35" s="378">
        <v>22767080</v>
      </c>
      <c r="I35" s="376" t="s">
        <v>160</v>
      </c>
      <c r="J35" s="376">
        <v>1</v>
      </c>
      <c r="K35" s="376" t="s">
        <v>161</v>
      </c>
      <c r="L35" s="376" t="s">
        <v>164</v>
      </c>
      <c r="M35" s="377">
        <f t="shared" ref="M35" si="14">H35*J35</f>
        <v>22767080</v>
      </c>
      <c r="O35" s="454" t="s">
        <v>254</v>
      </c>
      <c r="P35" s="451">
        <f>P101</f>
        <v>1497040</v>
      </c>
      <c r="Q35" s="451">
        <f>Q101</f>
        <v>2450160</v>
      </c>
      <c r="R35" s="451">
        <f>R101</f>
        <v>200000</v>
      </c>
      <c r="S35" s="451"/>
      <c r="T35" s="464"/>
      <c r="U35" s="451">
        <f t="shared" ref="U35" si="15">SUM(P35:T35)</f>
        <v>4147200</v>
      </c>
      <c r="V35" s="483"/>
      <c r="W35" s="689"/>
      <c r="X35" s="576"/>
      <c r="Y35" s="576"/>
      <c r="Z35" s="576"/>
      <c r="AA35" s="576"/>
      <c r="AB35" s="679">
        <f>SUM(AB29:AB34)</f>
        <v>1603760</v>
      </c>
      <c r="AC35" s="687"/>
      <c r="AD35" s="676"/>
      <c r="AE35" s="676"/>
      <c r="AF35" s="676"/>
      <c r="AG35" s="676"/>
      <c r="AH35" s="676"/>
      <c r="AI35" s="680">
        <f>SUM(AI29:AI34)</f>
        <v>4560640</v>
      </c>
      <c r="AJ35" s="687"/>
      <c r="AK35" s="576"/>
      <c r="AL35" s="576"/>
      <c r="AM35" s="576"/>
      <c r="AN35" s="576"/>
      <c r="AO35" s="576"/>
      <c r="AP35" s="681">
        <f>SUM(AP29:AP34)</f>
        <v>1416310</v>
      </c>
      <c r="AQ35" s="687"/>
      <c r="AR35" s="688"/>
    </row>
    <row r="36" spans="1:44" s="212" customFormat="1" ht="16.5" customHeight="1" x14ac:dyDescent="0.3">
      <c r="A36" s="221" t="s">
        <v>198</v>
      </c>
      <c r="B36" s="218" t="s">
        <v>159</v>
      </c>
      <c r="C36" s="270"/>
      <c r="D36" s="219">
        <f>560000*0.001</f>
        <v>560</v>
      </c>
      <c r="E36" s="216">
        <f>E37</f>
        <v>560</v>
      </c>
      <c r="F36" s="214">
        <f>E36-D36</f>
        <v>0</v>
      </c>
      <c r="G36" s="842">
        <f>G37</f>
        <v>560000</v>
      </c>
      <c r="H36" s="843"/>
      <c r="I36" s="843"/>
      <c r="J36" s="843"/>
      <c r="K36" s="843"/>
      <c r="L36" s="843"/>
      <c r="M36" s="844"/>
      <c r="N36" s="367"/>
      <c r="O36" s="454" t="s">
        <v>255</v>
      </c>
      <c r="P36" s="451">
        <f>P107</f>
        <v>4209600</v>
      </c>
      <c r="Q36" s="451">
        <f>Q107</f>
        <v>1410000</v>
      </c>
      <c r="R36" s="451"/>
      <c r="S36" s="451"/>
      <c r="T36" s="464"/>
      <c r="U36" s="451">
        <f>SUM(P36:T36)</f>
        <v>5619600</v>
      </c>
      <c r="V36" s="452"/>
      <c r="W36" s="686"/>
      <c r="X36" s="687"/>
      <c r="Y36" s="687"/>
      <c r="Z36" s="687"/>
      <c r="AA36" s="687"/>
      <c r="AB36" s="687"/>
      <c r="AC36" s="687"/>
      <c r="AD36" s="690" t="s">
        <v>376</v>
      </c>
      <c r="AE36" s="690"/>
      <c r="AF36" s="690"/>
      <c r="AG36" s="690"/>
      <c r="AH36" s="690"/>
      <c r="AI36" s="690"/>
      <c r="AJ36" s="687"/>
      <c r="AK36" s="687" t="s">
        <v>376</v>
      </c>
      <c r="AL36" s="687"/>
      <c r="AM36" s="687"/>
      <c r="AN36" s="687"/>
      <c r="AO36" s="687"/>
      <c r="AP36" s="687"/>
      <c r="AQ36" s="687"/>
      <c r="AR36" s="688"/>
    </row>
    <row r="37" spans="1:44" ht="16.5" customHeight="1" x14ac:dyDescent="0.3">
      <c r="A37" s="26"/>
      <c r="B37" s="259" t="s">
        <v>198</v>
      </c>
      <c r="C37" s="25"/>
      <c r="D37" s="571">
        <f>560000*0.001</f>
        <v>560</v>
      </c>
      <c r="E37" s="135">
        <f>G37*0.001</f>
        <v>560</v>
      </c>
      <c r="F37" s="73">
        <f>E37-D37</f>
        <v>0</v>
      </c>
      <c r="G37" s="845">
        <f>M38+M39</f>
        <v>560000</v>
      </c>
      <c r="H37" s="846"/>
      <c r="I37" s="846"/>
      <c r="J37" s="846"/>
      <c r="K37" s="846"/>
      <c r="L37" s="846"/>
      <c r="M37" s="847"/>
      <c r="N37" s="367"/>
      <c r="O37" s="477" t="s">
        <v>256</v>
      </c>
      <c r="P37" s="454">
        <f>P113</f>
        <v>0</v>
      </c>
      <c r="Q37" s="454">
        <f>Q113</f>
        <v>900000</v>
      </c>
      <c r="R37" s="454"/>
      <c r="S37" s="477"/>
      <c r="T37" s="464"/>
      <c r="U37" s="451">
        <f>SUM(P37:T37)</f>
        <v>900000</v>
      </c>
      <c r="V37" s="452"/>
      <c r="W37" s="686"/>
      <c r="X37" s="687"/>
      <c r="Y37" s="687"/>
      <c r="Z37" s="687"/>
      <c r="AA37" s="687"/>
      <c r="AB37" s="687"/>
      <c r="AC37" s="687"/>
      <c r="AD37" s="676">
        <f>1200000</f>
        <v>1200000</v>
      </c>
      <c r="AE37" s="677" t="s">
        <v>160</v>
      </c>
      <c r="AF37" s="677">
        <v>3.5449999999999999</v>
      </c>
      <c r="AG37" s="677" t="s">
        <v>151</v>
      </c>
      <c r="AH37" s="677" t="s">
        <v>164</v>
      </c>
      <c r="AI37" s="677">
        <f>ROUNDDOWN(AD37*AF37%,-1)</f>
        <v>42540</v>
      </c>
      <c r="AJ37" s="687"/>
      <c r="AK37" s="576">
        <f>(1700000*4)+(446400*5)+840000+2040000</f>
        <v>11912000</v>
      </c>
      <c r="AL37" s="674" t="s">
        <v>160</v>
      </c>
      <c r="AM37" s="552">
        <v>3.5449999999999999</v>
      </c>
      <c r="AN37" s="674" t="s">
        <v>151</v>
      </c>
      <c r="AO37" s="674" t="s">
        <v>164</v>
      </c>
      <c r="AP37" s="675">
        <f>ROUNDDOWN(AK37*AM37%,-1)</f>
        <v>422280</v>
      </c>
      <c r="AQ37" s="687"/>
      <c r="AR37" s="688"/>
    </row>
    <row r="38" spans="1:44" ht="16.5" customHeight="1" x14ac:dyDescent="0.3">
      <c r="A38" s="27"/>
      <c r="B38" s="24"/>
      <c r="C38" s="25" t="s">
        <v>14</v>
      </c>
      <c r="D38" s="571">
        <f>60000*0.001</f>
        <v>60</v>
      </c>
      <c r="E38" s="135">
        <f>M38*0.001</f>
        <v>60</v>
      </c>
      <c r="F38" s="73">
        <f>E38-D38</f>
        <v>0</v>
      </c>
      <c r="G38" s="208" t="s">
        <v>14</v>
      </c>
      <c r="H38" s="154">
        <v>60000</v>
      </c>
      <c r="I38" s="150" t="s">
        <v>160</v>
      </c>
      <c r="J38" s="150">
        <v>1</v>
      </c>
      <c r="K38" s="150" t="s">
        <v>161</v>
      </c>
      <c r="L38" s="150" t="s">
        <v>164</v>
      </c>
      <c r="M38" s="431">
        <f>H38*J38</f>
        <v>60000</v>
      </c>
      <c r="N38" s="367"/>
      <c r="O38" s="454" t="s">
        <v>257</v>
      </c>
      <c r="P38" s="454">
        <f>P118</f>
        <v>240000</v>
      </c>
      <c r="Q38" s="454">
        <f>Q118</f>
        <v>1310000</v>
      </c>
      <c r="R38" s="454"/>
      <c r="S38" s="454"/>
      <c r="T38" s="462"/>
      <c r="U38" s="451">
        <f>SUM(P38:T38)</f>
        <v>1550000</v>
      </c>
      <c r="V38" s="452"/>
      <c r="W38" s="686"/>
      <c r="X38" s="687"/>
      <c r="Y38" s="687"/>
      <c r="Z38" s="687"/>
      <c r="AA38" s="687"/>
      <c r="AB38" s="687"/>
      <c r="AC38" s="687"/>
      <c r="AD38" s="676">
        <v>42540</v>
      </c>
      <c r="AE38" s="677" t="s">
        <v>160</v>
      </c>
      <c r="AF38" s="678">
        <v>12.95</v>
      </c>
      <c r="AG38" s="677" t="s">
        <v>151</v>
      </c>
      <c r="AH38" s="677" t="s">
        <v>164</v>
      </c>
      <c r="AI38" s="677">
        <f>ROUNDDOWN(AD38*AF38%,-1)</f>
        <v>5500</v>
      </c>
      <c r="AJ38" s="687"/>
      <c r="AK38" s="576">
        <v>422280</v>
      </c>
      <c r="AL38" s="674" t="s">
        <v>160</v>
      </c>
      <c r="AM38" s="555">
        <v>12.95</v>
      </c>
      <c r="AN38" s="674" t="s">
        <v>151</v>
      </c>
      <c r="AO38" s="674" t="s">
        <v>164</v>
      </c>
      <c r="AP38" s="675">
        <f>ROUNDDOWN(AK38*AM38%,-1)</f>
        <v>54680</v>
      </c>
      <c r="AQ38" s="687"/>
      <c r="AR38" s="688"/>
    </row>
    <row r="39" spans="1:44" ht="16.5" customHeight="1" thickBot="1" x14ac:dyDescent="0.35">
      <c r="A39" s="29"/>
      <c r="B39" s="33"/>
      <c r="C39" s="34" t="s">
        <v>42</v>
      </c>
      <c r="D39" s="572">
        <f>500000*0.001</f>
        <v>500</v>
      </c>
      <c r="E39" s="548">
        <f>M39*0.001</f>
        <v>500</v>
      </c>
      <c r="F39" s="246">
        <f>E39-D39</f>
        <v>0</v>
      </c>
      <c r="G39" s="538" t="s">
        <v>334</v>
      </c>
      <c r="H39" s="50">
        <v>500000</v>
      </c>
      <c r="I39" s="252" t="s">
        <v>160</v>
      </c>
      <c r="J39" s="252">
        <v>1</v>
      </c>
      <c r="K39" s="252" t="s">
        <v>161</v>
      </c>
      <c r="L39" s="252" t="s">
        <v>164</v>
      </c>
      <c r="M39" s="436">
        <f>H39*J39</f>
        <v>500000</v>
      </c>
      <c r="N39" s="461"/>
      <c r="O39" s="477" t="s">
        <v>226</v>
      </c>
      <c r="P39" s="477">
        <f>SUM(P34:P38)</f>
        <v>6046640</v>
      </c>
      <c r="Q39" s="477">
        <f>SUM(Q34:Q38)</f>
        <v>7490160</v>
      </c>
      <c r="R39" s="477">
        <f>SUM(R34:R38)</f>
        <v>200000</v>
      </c>
      <c r="S39" s="477">
        <v>0</v>
      </c>
      <c r="T39" s="455"/>
      <c r="U39" s="477">
        <f>SUM(P39:T39)</f>
        <v>13736800</v>
      </c>
      <c r="V39" s="484"/>
      <c r="W39" s="686"/>
      <c r="X39" s="687"/>
      <c r="Y39" s="687"/>
      <c r="Z39" s="687"/>
      <c r="AA39" s="687"/>
      <c r="AB39" s="687"/>
      <c r="AC39" s="687"/>
      <c r="AD39" s="676">
        <f>1200000</f>
        <v>1200000</v>
      </c>
      <c r="AE39" s="677" t="s">
        <v>160</v>
      </c>
      <c r="AF39" s="677">
        <v>4.5</v>
      </c>
      <c r="AG39" s="677" t="s">
        <v>151</v>
      </c>
      <c r="AH39" s="677" t="s">
        <v>164</v>
      </c>
      <c r="AI39" s="677">
        <f t="shared" ref="AI39:AI40" si="16">ROUNDDOWN(AD39*AF39%,-1)</f>
        <v>54000</v>
      </c>
      <c r="AJ39" s="687"/>
      <c r="AK39" s="576">
        <f>(1700000*4)+(446400*5)+840000+2040000</f>
        <v>11912000</v>
      </c>
      <c r="AL39" s="674" t="s">
        <v>160</v>
      </c>
      <c r="AM39" s="556">
        <v>4.5</v>
      </c>
      <c r="AN39" s="674" t="s">
        <v>151</v>
      </c>
      <c r="AO39" s="674" t="s">
        <v>164</v>
      </c>
      <c r="AP39" s="675">
        <f t="shared" ref="AP39:AP40" si="17">ROUNDDOWN(AK39*AM39%,-1)</f>
        <v>536040</v>
      </c>
      <c r="AQ39" s="687"/>
      <c r="AR39" s="688"/>
    </row>
    <row r="40" spans="1:44" s="244" customFormat="1" ht="17.100000000000001" customHeight="1" x14ac:dyDescent="0.3">
      <c r="A40" s="237" t="s">
        <v>97</v>
      </c>
      <c r="B40" s="238"/>
      <c r="C40" s="239"/>
      <c r="D40" s="240"/>
      <c r="E40" s="233"/>
      <c r="F40" s="241"/>
      <c r="G40" s="235"/>
      <c r="H40" s="242"/>
      <c r="I40" s="242"/>
      <c r="J40" s="242"/>
      <c r="K40" s="242"/>
      <c r="L40" s="242"/>
      <c r="M40" s="243"/>
      <c r="N40" s="453"/>
      <c r="O40" s="454"/>
      <c r="P40" s="454"/>
      <c r="Q40" s="454"/>
      <c r="R40" s="454"/>
      <c r="S40" s="454"/>
      <c r="T40" s="455"/>
      <c r="U40" s="451"/>
      <c r="V40" s="452"/>
      <c r="W40" s="686"/>
      <c r="X40" s="687"/>
      <c r="Y40" s="687"/>
      <c r="Z40" s="687"/>
      <c r="AA40" s="687"/>
      <c r="AB40" s="687"/>
      <c r="AC40" s="687"/>
      <c r="AD40" s="676">
        <f>1200000</f>
        <v>1200000</v>
      </c>
      <c r="AE40" s="677" t="s">
        <v>160</v>
      </c>
      <c r="AF40" s="677">
        <v>1.1499999999999999</v>
      </c>
      <c r="AG40" s="677" t="s">
        <v>151</v>
      </c>
      <c r="AH40" s="677" t="s">
        <v>164</v>
      </c>
      <c r="AI40" s="677">
        <f t="shared" si="16"/>
        <v>13800</v>
      </c>
      <c r="AJ40" s="687"/>
      <c r="AK40" s="576">
        <f>(1700000*4)+(446400*5)+840000+2040000</f>
        <v>11912000</v>
      </c>
      <c r="AL40" s="674" t="s">
        <v>160</v>
      </c>
      <c r="AM40" s="556">
        <v>1.1499999999999999</v>
      </c>
      <c r="AN40" s="674" t="s">
        <v>151</v>
      </c>
      <c r="AO40" s="674" t="s">
        <v>164</v>
      </c>
      <c r="AP40" s="675">
        <f t="shared" si="17"/>
        <v>136980</v>
      </c>
      <c r="AQ40" s="687"/>
      <c r="AR40" s="688"/>
    </row>
    <row r="41" spans="1:44" ht="17.100000000000001" customHeight="1" thickBot="1" x14ac:dyDescent="0.35">
      <c r="A41" s="155"/>
      <c r="B41" s="157"/>
      <c r="C41" s="157"/>
      <c r="D41" s="157"/>
      <c r="E41" s="203"/>
      <c r="F41" s="158"/>
      <c r="G41" s="157"/>
      <c r="H41" s="157"/>
      <c r="I41" s="157"/>
      <c r="J41" s="157"/>
      <c r="K41" s="157"/>
      <c r="L41" s="157"/>
      <c r="M41" s="159" t="s">
        <v>26</v>
      </c>
      <c r="N41" s="453"/>
      <c r="O41" s="478" t="s">
        <v>199</v>
      </c>
      <c r="P41" s="451" t="s">
        <v>223</v>
      </c>
      <c r="Q41" s="451" t="s">
        <v>224</v>
      </c>
      <c r="R41" s="451" t="s">
        <v>225</v>
      </c>
      <c r="S41" s="451" t="s">
        <v>180</v>
      </c>
      <c r="T41" s="455"/>
      <c r="U41" s="451" t="s">
        <v>226</v>
      </c>
      <c r="V41" s="452"/>
      <c r="W41" s="686"/>
      <c r="X41" s="687"/>
      <c r="Y41" s="687"/>
      <c r="Z41" s="687"/>
      <c r="AA41" s="687"/>
      <c r="AB41" s="687"/>
      <c r="AC41" s="687"/>
      <c r="AD41" s="676">
        <f>1200000</f>
        <v>1200000</v>
      </c>
      <c r="AE41" s="677" t="s">
        <v>160</v>
      </c>
      <c r="AF41" s="677">
        <v>0.76</v>
      </c>
      <c r="AG41" s="677" t="s">
        <v>151</v>
      </c>
      <c r="AH41" s="677" t="s">
        <v>164</v>
      </c>
      <c r="AI41" s="677">
        <f>ROUNDDOWN(AD41*AF41%,-1)</f>
        <v>9120</v>
      </c>
      <c r="AJ41" s="687"/>
      <c r="AK41" s="576">
        <f>(1700000*4)+(446400*5)+840000+2040000</f>
        <v>11912000</v>
      </c>
      <c r="AL41" s="674" t="s">
        <v>160</v>
      </c>
      <c r="AM41" s="556">
        <v>0.76</v>
      </c>
      <c r="AN41" s="674" t="s">
        <v>151</v>
      </c>
      <c r="AO41" s="674" t="s">
        <v>164</v>
      </c>
      <c r="AP41" s="675">
        <f>ROUNDDOWN(AK41*AM41%,-1)</f>
        <v>90530</v>
      </c>
      <c r="AQ41" s="687"/>
      <c r="AR41" s="688"/>
    </row>
    <row r="42" spans="1:44" ht="15" customHeight="1" x14ac:dyDescent="0.3">
      <c r="A42" s="816" t="s">
        <v>82</v>
      </c>
      <c r="B42" s="817"/>
      <c r="C42" s="817" t="s">
        <v>163</v>
      </c>
      <c r="D42" s="751" t="s">
        <v>357</v>
      </c>
      <c r="E42" s="751" t="s">
        <v>361</v>
      </c>
      <c r="F42" s="753" t="s">
        <v>20</v>
      </c>
      <c r="G42" s="758" t="s">
        <v>2</v>
      </c>
      <c r="H42" s="758"/>
      <c r="I42" s="758"/>
      <c r="J42" s="758"/>
      <c r="K42" s="758"/>
      <c r="L42" s="758"/>
      <c r="M42" s="759"/>
      <c r="N42" s="453"/>
      <c r="O42" s="454" t="s">
        <v>258</v>
      </c>
      <c r="P42" s="454"/>
      <c r="Q42" s="454">
        <v>1000000</v>
      </c>
      <c r="R42" s="454"/>
      <c r="S42" s="454"/>
      <c r="T42" s="485"/>
      <c r="U42" s="451">
        <f>SUM(P42:T42)</f>
        <v>1000000</v>
      </c>
      <c r="V42" s="452"/>
      <c r="W42" s="686"/>
      <c r="X42" s="687"/>
      <c r="Y42" s="687"/>
      <c r="Z42" s="687"/>
      <c r="AA42" s="687"/>
      <c r="AB42" s="687"/>
      <c r="AC42" s="687"/>
      <c r="AD42" s="676"/>
      <c r="AE42" s="677" t="s">
        <v>160</v>
      </c>
      <c r="AF42" s="677">
        <v>1</v>
      </c>
      <c r="AG42" s="677" t="s">
        <v>309</v>
      </c>
      <c r="AH42" s="677" t="s">
        <v>164</v>
      </c>
      <c r="AI42" s="677">
        <f>AD42*AF42</f>
        <v>0</v>
      </c>
      <c r="AJ42" s="687"/>
      <c r="AK42" s="576"/>
      <c r="AL42" s="674" t="s">
        <v>160</v>
      </c>
      <c r="AM42" s="674">
        <v>1</v>
      </c>
      <c r="AN42" s="674" t="s">
        <v>309</v>
      </c>
      <c r="AO42" s="674" t="s">
        <v>164</v>
      </c>
      <c r="AP42" s="675">
        <f>AK42*AM42</f>
        <v>0</v>
      </c>
      <c r="AQ42" s="687"/>
      <c r="AR42" s="688"/>
    </row>
    <row r="43" spans="1:44" ht="15" customHeight="1" x14ac:dyDescent="0.3">
      <c r="A43" s="21" t="s">
        <v>155</v>
      </c>
      <c r="B43" s="207" t="s">
        <v>150</v>
      </c>
      <c r="C43" s="22" t="s">
        <v>163</v>
      </c>
      <c r="D43" s="752"/>
      <c r="E43" s="752"/>
      <c r="F43" s="754"/>
      <c r="G43" s="752"/>
      <c r="H43" s="752"/>
      <c r="I43" s="752"/>
      <c r="J43" s="752"/>
      <c r="K43" s="752"/>
      <c r="L43" s="752"/>
      <c r="M43" s="760"/>
      <c r="N43" s="486"/>
      <c r="O43" s="454" t="s">
        <v>259</v>
      </c>
      <c r="P43" s="451"/>
      <c r="Q43" s="451"/>
      <c r="R43" s="451">
        <v>1000000</v>
      </c>
      <c r="S43" s="451"/>
      <c r="T43" s="455"/>
      <c r="U43" s="451">
        <f>SUM(P43:T43)</f>
        <v>1000000</v>
      </c>
      <c r="V43" s="487"/>
      <c r="W43" s="686"/>
      <c r="X43" s="687"/>
      <c r="Y43" s="687"/>
      <c r="Z43" s="687"/>
      <c r="AA43" s="687"/>
      <c r="AB43" s="687"/>
      <c r="AC43" s="687"/>
      <c r="AD43" s="676"/>
      <c r="AE43" s="676"/>
      <c r="AF43" s="676"/>
      <c r="AG43" s="676"/>
      <c r="AH43" s="676"/>
      <c r="AI43" s="680">
        <f>SUM(AI37:AI42)</f>
        <v>124960</v>
      </c>
      <c r="AJ43" s="687"/>
      <c r="AK43" s="576"/>
      <c r="AL43" s="576"/>
      <c r="AM43" s="576"/>
      <c r="AN43" s="576"/>
      <c r="AO43" s="576"/>
      <c r="AP43" s="681">
        <f>SUM(AP37:AP42)</f>
        <v>1240510</v>
      </c>
      <c r="AQ43" s="687">
        <v>10</v>
      </c>
      <c r="AR43" s="691">
        <f>SUM(AP43:AQ43)</f>
        <v>1240520</v>
      </c>
    </row>
    <row r="44" spans="1:44" s="215" customFormat="1" ht="15" customHeight="1" x14ac:dyDescent="0.3">
      <c r="A44" s="81" t="s">
        <v>18</v>
      </c>
      <c r="B44" s="82"/>
      <c r="C44" s="83"/>
      <c r="D44" s="609">
        <f>D45+D116+D127+D207+D210+D212+D216</f>
        <v>394370.28200000001</v>
      </c>
      <c r="E44" s="216">
        <f>E45+E116+E127+E207+E210+E212+E215</f>
        <v>390118.86499999999</v>
      </c>
      <c r="F44" s="214">
        <f>ROUNDUP(E44-D44,0)</f>
        <v>-4252</v>
      </c>
      <c r="G44" s="872" t="s">
        <v>397</v>
      </c>
      <c r="H44" s="872"/>
      <c r="I44" s="872"/>
      <c r="J44" s="872"/>
      <c r="K44" s="872"/>
      <c r="L44" s="872"/>
      <c r="M44" s="433">
        <f>M45+M116+M127+M207+M210+M215+M212</f>
        <v>390118865</v>
      </c>
      <c r="N44" s="453"/>
      <c r="O44" s="477" t="s">
        <v>226</v>
      </c>
      <c r="P44" s="470">
        <f>SUM(P42:P43)</f>
        <v>0</v>
      </c>
      <c r="Q44" s="470">
        <f>SUM(Q42:Q43)</f>
        <v>1000000</v>
      </c>
      <c r="R44" s="470">
        <f>SUM(R42:R43)</f>
        <v>1000000</v>
      </c>
      <c r="S44" s="470">
        <f>SUM(S42:S43)</f>
        <v>0</v>
      </c>
      <c r="T44" s="455"/>
      <c r="U44" s="470">
        <f>SUM(P44:T44)</f>
        <v>2000000</v>
      </c>
      <c r="V44" s="469"/>
      <c r="W44" s="686"/>
      <c r="X44" s="687"/>
      <c r="Y44" s="687"/>
      <c r="Z44" s="687"/>
      <c r="AA44" s="687"/>
      <c r="AB44" s="687"/>
      <c r="AC44" s="687"/>
      <c r="AD44" s="687"/>
      <c r="AE44" s="687"/>
      <c r="AF44" s="687"/>
      <c r="AG44" s="682" t="s">
        <v>377</v>
      </c>
      <c r="AH44" s="687"/>
      <c r="AI44" s="687">
        <v>10</v>
      </c>
      <c r="AJ44" s="687"/>
      <c r="AK44" s="687" t="s">
        <v>378</v>
      </c>
      <c r="AL44" s="687"/>
      <c r="AM44" s="687"/>
      <c r="AN44" s="687"/>
      <c r="AO44" s="687"/>
      <c r="AP44" s="687"/>
      <c r="AQ44" s="687"/>
      <c r="AR44" s="688"/>
    </row>
    <row r="45" spans="1:44" s="211" customFormat="1" ht="15" customHeight="1" x14ac:dyDescent="0.3">
      <c r="A45" s="40" t="s">
        <v>193</v>
      </c>
      <c r="B45" s="123"/>
      <c r="C45" s="210"/>
      <c r="D45" s="574">
        <f>D46+D78+D89</f>
        <v>128993.49</v>
      </c>
      <c r="E45" s="138">
        <f>E46+E78+E89</f>
        <v>133574.32</v>
      </c>
      <c r="F45" s="214">
        <f t="shared" ref="F45:F47" si="18">E45-D45</f>
        <v>4580.8300000000017</v>
      </c>
      <c r="G45" s="755" t="s">
        <v>395</v>
      </c>
      <c r="H45" s="755"/>
      <c r="I45" s="755"/>
      <c r="J45" s="755"/>
      <c r="K45" s="755"/>
      <c r="L45" s="756"/>
      <c r="M45" s="434">
        <f>M46+M78+M89</f>
        <v>133574320</v>
      </c>
      <c r="N45" s="453"/>
      <c r="O45" s="451"/>
      <c r="P45" s="451"/>
      <c r="Q45" s="454"/>
      <c r="R45" s="451"/>
      <c r="S45" s="451"/>
      <c r="T45" s="455"/>
      <c r="U45" s="451"/>
      <c r="V45" s="487"/>
      <c r="W45" s="686"/>
      <c r="X45" s="687"/>
      <c r="Y45" s="687"/>
      <c r="Z45" s="687"/>
      <c r="AA45" s="687"/>
      <c r="AB45" s="687"/>
      <c r="AC45" s="687"/>
      <c r="AD45" s="687"/>
      <c r="AE45" s="687"/>
      <c r="AF45" s="687"/>
      <c r="AG45" s="682" t="s">
        <v>379</v>
      </c>
      <c r="AH45" s="687"/>
      <c r="AI45" s="692">
        <f>SUM(AI43:AI44)</f>
        <v>124970</v>
      </c>
      <c r="AJ45" s="687"/>
      <c r="AK45" s="576">
        <f>446400*7</f>
        <v>3124800</v>
      </c>
      <c r="AL45" s="674" t="s">
        <v>160</v>
      </c>
      <c r="AM45" s="552">
        <v>3.5449999999999999</v>
      </c>
      <c r="AN45" s="674" t="s">
        <v>151</v>
      </c>
      <c r="AO45" s="674" t="s">
        <v>164</v>
      </c>
      <c r="AP45" s="675">
        <f>ROUNDDOWN(AK45*AM45%,-1)</f>
        <v>110770</v>
      </c>
      <c r="AQ45" s="687"/>
      <c r="AR45" s="688"/>
    </row>
    <row r="46" spans="1:44" s="215" customFormat="1" ht="15" customHeight="1" x14ac:dyDescent="0.3">
      <c r="A46" s="44"/>
      <c r="B46" s="45" t="s">
        <v>179</v>
      </c>
      <c r="C46" s="213"/>
      <c r="D46" s="219">
        <f>109796690*0.001</f>
        <v>109796.69</v>
      </c>
      <c r="E46" s="138">
        <f>(G47+G52+G62+G66+G74)*0.001</f>
        <v>114437.52</v>
      </c>
      <c r="F46" s="214">
        <f t="shared" si="18"/>
        <v>4640.8300000000017</v>
      </c>
      <c r="G46" s="755" t="s">
        <v>383</v>
      </c>
      <c r="H46" s="755"/>
      <c r="I46" s="755"/>
      <c r="J46" s="755"/>
      <c r="K46" s="755"/>
      <c r="L46" s="756"/>
      <c r="M46" s="434">
        <f>G47+G52+G62+G66+G74</f>
        <v>114437520</v>
      </c>
      <c r="N46" s="453"/>
      <c r="O46" s="478" t="s">
        <v>184</v>
      </c>
      <c r="P46" s="451" t="s">
        <v>223</v>
      </c>
      <c r="Q46" s="451" t="s">
        <v>224</v>
      </c>
      <c r="R46" s="451" t="s">
        <v>225</v>
      </c>
      <c r="S46" s="451" t="s">
        <v>180</v>
      </c>
      <c r="T46" s="488" t="s">
        <v>310</v>
      </c>
      <c r="U46" s="451" t="s">
        <v>226</v>
      </c>
      <c r="V46" s="473"/>
      <c r="W46" s="686"/>
      <c r="X46" s="687"/>
      <c r="Y46" s="687"/>
      <c r="Z46" s="687"/>
      <c r="AA46" s="687"/>
      <c r="AB46" s="687"/>
      <c r="AC46" s="687"/>
      <c r="AD46" s="687"/>
      <c r="AE46" s="687"/>
      <c r="AF46" s="687"/>
      <c r="AG46" s="687"/>
      <c r="AH46" s="687"/>
      <c r="AI46" s="687"/>
      <c r="AJ46" s="687"/>
      <c r="AK46" s="675">
        <v>110770</v>
      </c>
      <c r="AL46" s="674" t="s">
        <v>160</v>
      </c>
      <c r="AM46" s="555">
        <v>12.95</v>
      </c>
      <c r="AN46" s="674" t="s">
        <v>151</v>
      </c>
      <c r="AO46" s="674" t="s">
        <v>164</v>
      </c>
      <c r="AP46" s="675">
        <f>ROUNDDOWN(AK46*AM46%,-1)</f>
        <v>14340</v>
      </c>
      <c r="AQ46" s="687"/>
      <c r="AR46" s="688"/>
    </row>
    <row r="47" spans="1:44" s="77" customFormat="1" ht="15" customHeight="1" thickBot="1" x14ac:dyDescent="0.35">
      <c r="A47" s="402"/>
      <c r="B47" s="403"/>
      <c r="C47" s="108" t="s">
        <v>167</v>
      </c>
      <c r="D47" s="385">
        <f>71941200*0.001</f>
        <v>71941.2</v>
      </c>
      <c r="E47" s="133">
        <f>(G47*0.1%)</f>
        <v>73384.800000000003</v>
      </c>
      <c r="F47" s="717">
        <f t="shared" si="18"/>
        <v>1443.6000000000058</v>
      </c>
      <c r="G47" s="873">
        <f>M48+M49+M50</f>
        <v>73384800</v>
      </c>
      <c r="H47" s="820"/>
      <c r="I47" s="820"/>
      <c r="J47" s="820"/>
      <c r="K47" s="820"/>
      <c r="L47" s="820"/>
      <c r="M47" s="821"/>
      <c r="N47" s="490"/>
      <c r="O47" s="489" t="s">
        <v>260</v>
      </c>
      <c r="P47" s="451"/>
      <c r="Q47" s="451">
        <v>150000</v>
      </c>
      <c r="R47" s="451"/>
      <c r="S47" s="451"/>
      <c r="T47" s="462"/>
      <c r="U47" s="451">
        <f>SUM(P47:T47)</f>
        <v>150000</v>
      </c>
      <c r="V47" s="483"/>
      <c r="W47" s="686"/>
      <c r="X47" s="687"/>
      <c r="Y47" s="687"/>
      <c r="Z47" s="687"/>
      <c r="AA47" s="687"/>
      <c r="AB47" s="687"/>
      <c r="AC47" s="687"/>
      <c r="AD47" s="687" t="s">
        <v>380</v>
      </c>
      <c r="AE47" s="690">
        <f>AI35+AI45+AP35+AR43+AR51</f>
        <v>7667840</v>
      </c>
      <c r="AF47" s="687"/>
      <c r="AG47" s="687"/>
      <c r="AH47" s="687"/>
      <c r="AI47" s="687"/>
      <c r="AJ47" s="687"/>
      <c r="AK47" s="576">
        <f>446400*7</f>
        <v>3124800</v>
      </c>
      <c r="AL47" s="674" t="s">
        <v>160</v>
      </c>
      <c r="AM47" s="556">
        <v>4.5</v>
      </c>
      <c r="AN47" s="674" t="s">
        <v>151</v>
      </c>
      <c r="AO47" s="674" t="s">
        <v>164</v>
      </c>
      <c r="AP47" s="675">
        <f t="shared" ref="AP47:AP48" si="19">ROUNDDOWN(AK47*AM47%,-1)</f>
        <v>140610</v>
      </c>
      <c r="AQ47" s="687"/>
      <c r="AR47" s="688"/>
    </row>
    <row r="48" spans="1:44" s="76" customFormat="1" ht="15" customHeight="1" thickBot="1" x14ac:dyDescent="0.35">
      <c r="A48" s="28"/>
      <c r="B48" s="403"/>
      <c r="C48" s="131"/>
      <c r="D48" s="385"/>
      <c r="E48" s="133"/>
      <c r="F48" s="73"/>
      <c r="G48" s="440" t="s">
        <v>205</v>
      </c>
      <c r="H48" s="441">
        <v>3190400</v>
      </c>
      <c r="I48" s="324" t="s">
        <v>160</v>
      </c>
      <c r="J48" s="375">
        <v>12</v>
      </c>
      <c r="K48" s="325" t="s">
        <v>156</v>
      </c>
      <c r="L48" s="325" t="s">
        <v>164</v>
      </c>
      <c r="M48" s="432">
        <f t="shared" ref="M48:M50" si="20">H48*J48</f>
        <v>38284800</v>
      </c>
      <c r="N48" s="579">
        <f>M48+1700000*8</f>
        <v>51884800</v>
      </c>
      <c r="O48" s="578" t="s">
        <v>261</v>
      </c>
      <c r="P48" s="451">
        <v>1000000</v>
      </c>
      <c r="Q48" s="451">
        <v>10300000</v>
      </c>
      <c r="R48" s="451"/>
      <c r="S48" s="451"/>
      <c r="T48" s="488"/>
      <c r="U48" s="451">
        <f t="shared" ref="U48:U50" si="21">SUM(P48:T48)</f>
        <v>11300000</v>
      </c>
      <c r="V48" s="483"/>
      <c r="W48" s="686"/>
      <c r="X48" s="687"/>
      <c r="Y48" s="687"/>
      <c r="Z48" s="687"/>
      <c r="AA48" s="687"/>
      <c r="AB48" s="687"/>
      <c r="AC48" s="687"/>
      <c r="AD48" s="687" t="s">
        <v>374</v>
      </c>
      <c r="AE48" s="690">
        <f>AI35</f>
        <v>4560640</v>
      </c>
      <c r="AF48" s="687"/>
      <c r="AG48" s="687"/>
      <c r="AH48" s="687"/>
      <c r="AI48" s="687"/>
      <c r="AJ48" s="687"/>
      <c r="AK48" s="576">
        <f>446400*7</f>
        <v>3124800</v>
      </c>
      <c r="AL48" s="674" t="s">
        <v>160</v>
      </c>
      <c r="AM48" s="556">
        <v>1.1499999999999999</v>
      </c>
      <c r="AN48" s="674" t="s">
        <v>151</v>
      </c>
      <c r="AO48" s="674" t="s">
        <v>164</v>
      </c>
      <c r="AP48" s="675">
        <f t="shared" si="19"/>
        <v>35930</v>
      </c>
      <c r="AQ48" s="687"/>
      <c r="AR48" s="688"/>
    </row>
    <row r="49" spans="1:44" s="76" customFormat="1" ht="15" customHeight="1" x14ac:dyDescent="0.3">
      <c r="A49" s="28"/>
      <c r="B49" s="403"/>
      <c r="C49" s="131"/>
      <c r="D49" s="385"/>
      <c r="E49" s="133"/>
      <c r="F49" s="73"/>
      <c r="G49" s="440" t="s">
        <v>320</v>
      </c>
      <c r="H49" s="441">
        <v>1700000</v>
      </c>
      <c r="I49" s="324" t="s">
        <v>160</v>
      </c>
      <c r="J49" s="375">
        <v>12</v>
      </c>
      <c r="K49" s="325" t="s">
        <v>156</v>
      </c>
      <c r="L49" s="325" t="s">
        <v>164</v>
      </c>
      <c r="M49" s="432">
        <f t="shared" si="20"/>
        <v>20400000</v>
      </c>
      <c r="N49" s="577">
        <f>1700000*4</f>
        <v>6800000</v>
      </c>
      <c r="O49" s="451" t="s">
        <v>262</v>
      </c>
      <c r="P49" s="451">
        <f>P151</f>
        <v>350000</v>
      </c>
      <c r="Q49" s="451">
        <f>Q151</f>
        <v>3420000</v>
      </c>
      <c r="R49" s="451"/>
      <c r="S49" s="451"/>
      <c r="T49" s="370"/>
      <c r="U49" s="451">
        <f t="shared" si="21"/>
        <v>3770000</v>
      </c>
      <c r="V49" s="483"/>
      <c r="W49" s="686"/>
      <c r="X49" s="687"/>
      <c r="Y49" s="687"/>
      <c r="Z49" s="687"/>
      <c r="AA49" s="687"/>
      <c r="AB49" s="687"/>
      <c r="AC49" s="687"/>
      <c r="AD49" s="687" t="s">
        <v>376</v>
      </c>
      <c r="AE49" s="690">
        <f>AI45+AP35+AR43</f>
        <v>2781800</v>
      </c>
      <c r="AF49" s="687"/>
      <c r="AG49" s="687"/>
      <c r="AH49" s="687"/>
      <c r="AI49" s="687"/>
      <c r="AJ49" s="687"/>
      <c r="AK49" s="576">
        <f>446400*7</f>
        <v>3124800</v>
      </c>
      <c r="AL49" s="674" t="s">
        <v>160</v>
      </c>
      <c r="AM49" s="556">
        <v>0.76</v>
      </c>
      <c r="AN49" s="674" t="s">
        <v>151</v>
      </c>
      <c r="AO49" s="674" t="s">
        <v>164</v>
      </c>
      <c r="AP49" s="675">
        <f>ROUNDDOWN(AK49*AM49%,-1)</f>
        <v>23740</v>
      </c>
      <c r="AQ49" s="687"/>
      <c r="AR49" s="688"/>
    </row>
    <row r="50" spans="1:44" s="76" customFormat="1" ht="15" customHeight="1" x14ac:dyDescent="0.3">
      <c r="A50" s="28"/>
      <c r="B50" s="403"/>
      <c r="C50" s="131"/>
      <c r="D50" s="385"/>
      <c r="E50" s="133"/>
      <c r="F50" s="73"/>
      <c r="G50" s="440" t="s">
        <v>322</v>
      </c>
      <c r="H50" s="441">
        <v>2100000</v>
      </c>
      <c r="I50" s="324" t="s">
        <v>160</v>
      </c>
      <c r="J50" s="375">
        <v>7</v>
      </c>
      <c r="K50" s="325" t="s">
        <v>156</v>
      </c>
      <c r="L50" s="325" t="s">
        <v>164</v>
      </c>
      <c r="M50" s="432">
        <f t="shared" si="20"/>
        <v>14700000</v>
      </c>
      <c r="N50" s="472"/>
      <c r="O50" s="491" t="s">
        <v>263</v>
      </c>
      <c r="P50" s="451">
        <v>1600000</v>
      </c>
      <c r="Q50" s="451">
        <v>500000</v>
      </c>
      <c r="R50" s="451"/>
      <c r="S50" s="451"/>
      <c r="T50" s="464"/>
      <c r="U50" s="451">
        <f t="shared" si="21"/>
        <v>2100000</v>
      </c>
      <c r="V50" s="473"/>
      <c r="W50" s="686"/>
      <c r="X50" s="687"/>
      <c r="Y50" s="687"/>
      <c r="Z50" s="687"/>
      <c r="AA50" s="687"/>
      <c r="AB50" s="687"/>
      <c r="AC50" s="687"/>
      <c r="AD50" s="687" t="s">
        <v>378</v>
      </c>
      <c r="AE50" s="693">
        <f>AR51</f>
        <v>325400</v>
      </c>
      <c r="AF50" s="693">
        <f>AB35</f>
        <v>1603760</v>
      </c>
      <c r="AG50" s="693">
        <f>SUM(AE50:AF50)</f>
        <v>1929160</v>
      </c>
      <c r="AH50" s="687"/>
      <c r="AI50" s="687"/>
      <c r="AJ50" s="687"/>
      <c r="AK50" s="576"/>
      <c r="AL50" s="674" t="s">
        <v>160</v>
      </c>
      <c r="AM50" s="674">
        <v>1</v>
      </c>
      <c r="AN50" s="674" t="s">
        <v>309</v>
      </c>
      <c r="AO50" s="674" t="s">
        <v>164</v>
      </c>
      <c r="AP50" s="675">
        <f>AK50*AM50</f>
        <v>0</v>
      </c>
      <c r="AQ50" s="687"/>
      <c r="AR50" s="688"/>
    </row>
    <row r="51" spans="1:44" s="77" customFormat="1" ht="15" customHeight="1" thickBot="1" x14ac:dyDescent="0.35">
      <c r="A51" s="28"/>
      <c r="B51" s="403"/>
      <c r="C51" s="108"/>
      <c r="D51" s="385"/>
      <c r="E51" s="133"/>
      <c r="F51" s="73"/>
      <c r="G51" s="769" t="s">
        <v>363</v>
      </c>
      <c r="H51" s="781"/>
      <c r="I51" s="781"/>
      <c r="J51" s="781"/>
      <c r="K51" s="781"/>
      <c r="L51" s="781"/>
      <c r="M51" s="782"/>
      <c r="N51" s="367"/>
      <c r="O51" s="491" t="s">
        <v>212</v>
      </c>
      <c r="P51" s="451"/>
      <c r="Q51" s="451">
        <v>600000</v>
      </c>
      <c r="R51" s="451"/>
      <c r="S51" s="451"/>
      <c r="T51" s="464"/>
      <c r="U51" s="451">
        <f t="shared" ref="U51:U52" si="22">SUM(P51:T51)</f>
        <v>600000</v>
      </c>
      <c r="V51" s="452"/>
      <c r="W51" s="694"/>
      <c r="X51" s="695"/>
      <c r="Y51" s="695"/>
      <c r="Z51" s="695"/>
      <c r="AA51" s="695"/>
      <c r="AB51" s="695"/>
      <c r="AC51" s="695"/>
      <c r="AD51" s="695"/>
      <c r="AE51" s="695"/>
      <c r="AF51" s="695"/>
      <c r="AG51" s="695"/>
      <c r="AH51" s="695"/>
      <c r="AI51" s="695"/>
      <c r="AJ51" s="695"/>
      <c r="AK51" s="696"/>
      <c r="AL51" s="696"/>
      <c r="AM51" s="696"/>
      <c r="AN51" s="696"/>
      <c r="AO51" s="696"/>
      <c r="AP51" s="697">
        <f>SUM(AP45:AP50)</f>
        <v>325390</v>
      </c>
      <c r="AQ51" s="695">
        <v>10</v>
      </c>
      <c r="AR51" s="698">
        <f>SUM(AP51:AQ51)</f>
        <v>325400</v>
      </c>
    </row>
    <row r="52" spans="1:44" s="78" customFormat="1" ht="15" customHeight="1" thickBot="1" x14ac:dyDescent="0.35">
      <c r="A52" s="402"/>
      <c r="B52" s="403"/>
      <c r="C52" s="108" t="s">
        <v>171</v>
      </c>
      <c r="D52" s="575">
        <f>21580720*0.001</f>
        <v>21580.720000000001</v>
      </c>
      <c r="E52" s="133">
        <f>(G52*0.1%)</f>
        <v>24045.279999999999</v>
      </c>
      <c r="F52" s="73">
        <f>E52-D52</f>
        <v>2464.5599999999977</v>
      </c>
      <c r="G52" s="837">
        <f>SUM(M53:M60)</f>
        <v>24045280</v>
      </c>
      <c r="H52" s="837"/>
      <c r="I52" s="837"/>
      <c r="J52" s="837"/>
      <c r="K52" s="837"/>
      <c r="L52" s="837"/>
      <c r="M52" s="838"/>
      <c r="N52" s="367"/>
      <c r="O52" s="451" t="s">
        <v>264</v>
      </c>
      <c r="P52" s="451"/>
      <c r="Q52" s="451">
        <v>100000</v>
      </c>
      <c r="R52" s="451"/>
      <c r="S52" s="451"/>
      <c r="T52" s="464"/>
      <c r="U52" s="451">
        <f t="shared" si="22"/>
        <v>100000</v>
      </c>
      <c r="V52" s="452"/>
      <c r="W52" s="452"/>
      <c r="X52" s="452"/>
      <c r="Y52" s="452"/>
      <c r="Z52" s="452"/>
      <c r="AA52" s="452"/>
      <c r="AB52" s="452"/>
    </row>
    <row r="53" spans="1:44" s="78" customFormat="1" ht="15" customHeight="1" thickBot="1" x14ac:dyDescent="0.35">
      <c r="A53" s="402"/>
      <c r="B53" s="403"/>
      <c r="C53" s="131"/>
      <c r="D53" s="385"/>
      <c r="E53" s="133"/>
      <c r="F53" s="73"/>
      <c r="G53" s="442" t="s">
        <v>105</v>
      </c>
      <c r="H53" s="324">
        <v>700000</v>
      </c>
      <c r="I53" s="325" t="s">
        <v>160</v>
      </c>
      <c r="J53" s="325">
        <v>12</v>
      </c>
      <c r="K53" s="325" t="s">
        <v>156</v>
      </c>
      <c r="L53" s="325" t="s">
        <v>164</v>
      </c>
      <c r="M53" s="432">
        <f t="shared" ref="M53" si="23">H53*J53</f>
        <v>8400000</v>
      </c>
      <c r="N53" s="584" t="s">
        <v>225</v>
      </c>
      <c r="O53" s="578" t="s">
        <v>265</v>
      </c>
      <c r="P53" s="451"/>
      <c r="Q53" s="451">
        <v>1300000</v>
      </c>
      <c r="R53" s="451"/>
      <c r="S53" s="451"/>
      <c r="T53" s="370"/>
      <c r="U53" s="451">
        <f t="shared" ref="U53:U57" si="24">SUM(P53:T53)</f>
        <v>1300000</v>
      </c>
      <c r="V53" s="452"/>
      <c r="W53" s="452"/>
      <c r="X53" s="452"/>
      <c r="Y53" s="452"/>
      <c r="Z53" s="567"/>
      <c r="AA53" s="452"/>
      <c r="AB53" s="452"/>
    </row>
    <row r="54" spans="1:44" s="78" customFormat="1" ht="15" customHeight="1" x14ac:dyDescent="0.3">
      <c r="A54" s="402"/>
      <c r="B54" s="403"/>
      <c r="C54" s="131"/>
      <c r="D54" s="385"/>
      <c r="E54" s="133"/>
      <c r="F54" s="73"/>
      <c r="G54" s="440" t="s">
        <v>321</v>
      </c>
      <c r="H54" s="441">
        <v>100000</v>
      </c>
      <c r="I54" s="325" t="s">
        <v>160</v>
      </c>
      <c r="J54" s="325">
        <v>7</v>
      </c>
      <c r="K54" s="325" t="s">
        <v>156</v>
      </c>
      <c r="L54" s="325" t="s">
        <v>164</v>
      </c>
      <c r="M54" s="432">
        <f t="shared" ref="M54:M60" si="25">H54*J54</f>
        <v>700000</v>
      </c>
      <c r="N54" s="569" t="s">
        <v>224</v>
      </c>
      <c r="O54" s="451" t="s">
        <v>266</v>
      </c>
      <c r="P54" s="451"/>
      <c r="Q54" s="451">
        <v>2000000</v>
      </c>
      <c r="R54" s="451"/>
      <c r="S54" s="451"/>
      <c r="T54" s="455"/>
      <c r="U54" s="451">
        <f t="shared" si="24"/>
        <v>2000000</v>
      </c>
      <c r="V54" s="452"/>
      <c r="W54" s="452"/>
      <c r="X54" s="452"/>
      <c r="Y54" s="452"/>
      <c r="Z54" s="452"/>
      <c r="AA54" s="452"/>
      <c r="AB54" s="452"/>
    </row>
    <row r="55" spans="1:44" s="78" customFormat="1" ht="15" customHeight="1" thickBot="1" x14ac:dyDescent="0.35">
      <c r="A55" s="447"/>
      <c r="B55" s="448"/>
      <c r="C55" s="131"/>
      <c r="D55" s="385"/>
      <c r="E55" s="133"/>
      <c r="F55" s="73"/>
      <c r="G55" s="440" t="s">
        <v>215</v>
      </c>
      <c r="H55" s="441">
        <v>1914240</v>
      </c>
      <c r="I55" s="325" t="s">
        <v>160</v>
      </c>
      <c r="J55" s="325">
        <v>2</v>
      </c>
      <c r="K55" s="325" t="s">
        <v>156</v>
      </c>
      <c r="L55" s="325" t="s">
        <v>164</v>
      </c>
      <c r="M55" s="432">
        <f t="shared" si="25"/>
        <v>3828480</v>
      </c>
      <c r="N55" s="632" t="s">
        <v>223</v>
      </c>
      <c r="O55" s="451" t="s">
        <v>267</v>
      </c>
      <c r="P55" s="451"/>
      <c r="Q55" s="451">
        <v>1200000</v>
      </c>
      <c r="R55" s="451">
        <v>1000000</v>
      </c>
      <c r="S55" s="451"/>
      <c r="T55" s="455"/>
      <c r="U55" s="451">
        <f t="shared" si="24"/>
        <v>2200000</v>
      </c>
      <c r="V55" s="452"/>
      <c r="W55" s="452"/>
      <c r="X55" s="452"/>
      <c r="Y55" s="452"/>
      <c r="Z55" s="452"/>
      <c r="AA55" s="452"/>
      <c r="AB55" s="452"/>
    </row>
    <row r="56" spans="1:44" s="78" customFormat="1" ht="15" customHeight="1" x14ac:dyDescent="0.3">
      <c r="A56" s="402"/>
      <c r="B56" s="403"/>
      <c r="C56" s="131"/>
      <c r="D56" s="385"/>
      <c r="E56" s="133"/>
      <c r="F56" s="73"/>
      <c r="G56" s="440" t="s">
        <v>301</v>
      </c>
      <c r="H56" s="441">
        <v>1020000</v>
      </c>
      <c r="I56" s="325" t="s">
        <v>160</v>
      </c>
      <c r="J56" s="325">
        <v>2</v>
      </c>
      <c r="K56" s="325" t="s">
        <v>156</v>
      </c>
      <c r="L56" s="325" t="s">
        <v>164</v>
      </c>
      <c r="M56" s="432">
        <f t="shared" si="25"/>
        <v>2040000</v>
      </c>
      <c r="N56" s="582" t="s">
        <v>225</v>
      </c>
      <c r="O56" s="578" t="s">
        <v>268</v>
      </c>
      <c r="P56" s="451"/>
      <c r="Q56" s="451">
        <v>800000</v>
      </c>
      <c r="R56" s="451"/>
      <c r="S56" s="451">
        <v>4485640</v>
      </c>
      <c r="T56" s="455"/>
      <c r="U56" s="451">
        <f t="shared" si="24"/>
        <v>5285640</v>
      </c>
      <c r="V56" s="452"/>
      <c r="W56" s="452"/>
      <c r="X56" s="452"/>
      <c r="Y56" s="452"/>
      <c r="Z56" s="452"/>
      <c r="AA56" s="452"/>
      <c r="AB56" s="452"/>
    </row>
    <row r="57" spans="1:44" s="78" customFormat="1" ht="15" customHeight="1" thickBot="1" x14ac:dyDescent="0.35">
      <c r="A57" s="543"/>
      <c r="B57" s="544"/>
      <c r="C57" s="131"/>
      <c r="D57" s="385"/>
      <c r="E57" s="133"/>
      <c r="F57" s="73"/>
      <c r="G57" s="440" t="s">
        <v>323</v>
      </c>
      <c r="H57" s="441">
        <v>100000</v>
      </c>
      <c r="I57" s="568" t="s">
        <v>189</v>
      </c>
      <c r="J57" s="325">
        <v>12</v>
      </c>
      <c r="K57" s="325" t="s">
        <v>156</v>
      </c>
      <c r="L57" s="325" t="s">
        <v>164</v>
      </c>
      <c r="M57" s="432">
        <f t="shared" si="25"/>
        <v>1200000</v>
      </c>
      <c r="N57" s="583" t="s">
        <v>225</v>
      </c>
      <c r="O57" s="578" t="s">
        <v>269</v>
      </c>
      <c r="P57" s="459"/>
      <c r="Q57" s="492">
        <v>1000000</v>
      </c>
      <c r="R57" s="492"/>
      <c r="S57" s="459"/>
      <c r="T57" s="455"/>
      <c r="U57" s="451">
        <f t="shared" si="24"/>
        <v>1000000</v>
      </c>
      <c r="V57" s="452"/>
      <c r="W57" s="452"/>
      <c r="X57" s="452"/>
      <c r="Y57" s="452"/>
      <c r="Z57" s="452"/>
      <c r="AA57" s="452"/>
      <c r="AB57" s="452"/>
    </row>
    <row r="58" spans="1:44" s="78" customFormat="1" ht="15" customHeight="1" thickBot="1" x14ac:dyDescent="0.35">
      <c r="A58" s="627"/>
      <c r="B58" s="628"/>
      <c r="C58" s="131"/>
      <c r="D58" s="385"/>
      <c r="E58" s="133"/>
      <c r="F58" s="73"/>
      <c r="G58" s="440" t="s">
        <v>351</v>
      </c>
      <c r="H58" s="441">
        <v>140000</v>
      </c>
      <c r="I58" s="568" t="s">
        <v>189</v>
      </c>
      <c r="J58" s="325">
        <v>12</v>
      </c>
      <c r="K58" s="325" t="s">
        <v>156</v>
      </c>
      <c r="L58" s="325" t="s">
        <v>164</v>
      </c>
      <c r="M58" s="432">
        <f t="shared" si="25"/>
        <v>1680000</v>
      </c>
      <c r="N58" s="631">
        <f>M55+M58</f>
        <v>5508480</v>
      </c>
      <c r="O58" s="578" t="s">
        <v>310</v>
      </c>
      <c r="P58" s="455"/>
      <c r="Q58" s="451">
        <v>1000000</v>
      </c>
      <c r="R58" s="455"/>
      <c r="S58" s="455"/>
      <c r="T58" s="455">
        <v>15000000</v>
      </c>
      <c r="U58" s="451">
        <f>SUM(P58:T58)</f>
        <v>16000000</v>
      </c>
      <c r="V58" s="368"/>
      <c r="W58" s="473"/>
      <c r="X58" s="473"/>
      <c r="Y58" s="473"/>
      <c r="Z58" s="473"/>
      <c r="AA58" s="473"/>
      <c r="AB58" s="452"/>
    </row>
    <row r="59" spans="1:44" s="78" customFormat="1" ht="15" customHeight="1" x14ac:dyDescent="0.3">
      <c r="A59" s="627"/>
      <c r="B59" s="628"/>
      <c r="C59" s="131"/>
      <c r="D59" s="385"/>
      <c r="E59" s="133"/>
      <c r="F59" s="73"/>
      <c r="G59" s="440" t="s">
        <v>352</v>
      </c>
      <c r="H59" s="441">
        <v>70000</v>
      </c>
      <c r="I59" s="568" t="s">
        <v>189</v>
      </c>
      <c r="J59" s="325">
        <v>12</v>
      </c>
      <c r="K59" s="325" t="s">
        <v>156</v>
      </c>
      <c r="L59" s="325" t="s">
        <v>164</v>
      </c>
      <c r="M59" s="432">
        <f t="shared" si="25"/>
        <v>840000</v>
      </c>
      <c r="N59" s="630">
        <f>446400*5</f>
        <v>2232000</v>
      </c>
      <c r="O59" s="477" t="s">
        <v>226</v>
      </c>
      <c r="P59" s="470">
        <f>SUM(P46:P56)</f>
        <v>2950000</v>
      </c>
      <c r="Q59" s="470">
        <f>SUM(Q47:Q58)</f>
        <v>22370000</v>
      </c>
      <c r="R59" s="470">
        <f>SUM(R47:R58)</f>
        <v>1000000</v>
      </c>
      <c r="S59" s="470">
        <f>SUM(S47:S56)</f>
        <v>4485640</v>
      </c>
      <c r="T59" s="470">
        <f>SUM(T47:T58)</f>
        <v>15000000</v>
      </c>
      <c r="U59" s="470">
        <f>SUM(P59:T59)</f>
        <v>45805640</v>
      </c>
      <c r="W59" s="664" t="s">
        <v>367</v>
      </c>
      <c r="X59" s="665"/>
      <c r="Z59" s="701" t="s">
        <v>381</v>
      </c>
      <c r="AA59" s="702"/>
      <c r="AB59" s="703"/>
      <c r="AC59" s="704"/>
    </row>
    <row r="60" spans="1:44" s="78" customFormat="1" ht="15" customHeight="1" thickBot="1" x14ac:dyDescent="0.35">
      <c r="A60" s="633"/>
      <c r="B60" s="634"/>
      <c r="C60" s="131"/>
      <c r="D60" s="385"/>
      <c r="E60" s="133"/>
      <c r="F60" s="73"/>
      <c r="G60" s="440" t="s">
        <v>354</v>
      </c>
      <c r="H60" s="441">
        <v>446400</v>
      </c>
      <c r="I60" s="568" t="s">
        <v>189</v>
      </c>
      <c r="J60" s="325">
        <v>12</v>
      </c>
      <c r="K60" s="325" t="s">
        <v>156</v>
      </c>
      <c r="L60" s="325" t="s">
        <v>164</v>
      </c>
      <c r="M60" s="432">
        <f t="shared" si="25"/>
        <v>5356800</v>
      </c>
      <c r="N60" s="581">
        <f>M56+M53+M57+M59+N59</f>
        <v>14712000</v>
      </c>
      <c r="O60" s="477"/>
      <c r="P60" s="470"/>
      <c r="Q60" s="470"/>
      <c r="R60" s="470"/>
      <c r="S60" s="470"/>
      <c r="T60" s="455"/>
      <c r="U60" s="470"/>
      <c r="W60" s="666">
        <f>(((1700000+70000)*12)+2040000)/12</f>
        <v>1940000</v>
      </c>
      <c r="X60" s="667" t="s">
        <v>364</v>
      </c>
      <c r="Z60" s="705" t="s">
        <v>223</v>
      </c>
      <c r="AA60" s="699" t="s">
        <v>225</v>
      </c>
      <c r="AB60" s="700" t="s">
        <v>382</v>
      </c>
      <c r="AC60" s="706"/>
    </row>
    <row r="61" spans="1:44" s="78" customFormat="1" ht="15" customHeight="1" x14ac:dyDescent="0.3">
      <c r="A61" s="402"/>
      <c r="B61" s="403"/>
      <c r="C61" s="131"/>
      <c r="D61" s="385"/>
      <c r="E61" s="133"/>
      <c r="F61" s="73"/>
      <c r="G61" s="769" t="s">
        <v>368</v>
      </c>
      <c r="H61" s="781"/>
      <c r="I61" s="781"/>
      <c r="J61" s="781"/>
      <c r="K61" s="781"/>
      <c r="L61" s="781"/>
      <c r="M61" s="782"/>
      <c r="N61" s="585" t="s">
        <v>335</v>
      </c>
      <c r="O61" s="450" t="s">
        <v>185</v>
      </c>
      <c r="P61" s="451" t="s">
        <v>223</v>
      </c>
      <c r="Q61" s="451" t="s">
        <v>224</v>
      </c>
      <c r="R61" s="451" t="s">
        <v>225</v>
      </c>
      <c r="S61" s="451" t="s">
        <v>180</v>
      </c>
      <c r="T61" s="455"/>
      <c r="U61" s="451" t="s">
        <v>226</v>
      </c>
      <c r="V61" s="473"/>
      <c r="W61" s="668">
        <f>1940000*1.5/130.35</f>
        <v>22324.51093210587</v>
      </c>
      <c r="X61" s="669" t="s">
        <v>365</v>
      </c>
      <c r="Y61" s="452"/>
      <c r="Z61" s="707">
        <v>3649440</v>
      </c>
      <c r="AA61" s="676">
        <v>100000</v>
      </c>
      <c r="AB61" s="676">
        <v>260400</v>
      </c>
      <c r="AC61" s="706"/>
    </row>
    <row r="62" spans="1:44" s="77" customFormat="1" ht="15" customHeight="1" thickBot="1" x14ac:dyDescent="0.35">
      <c r="A62" s="402"/>
      <c r="B62" s="403"/>
      <c r="C62" s="108" t="s">
        <v>144</v>
      </c>
      <c r="D62" s="385">
        <f>5810160*0.001</f>
        <v>5810.16</v>
      </c>
      <c r="E62" s="133">
        <f>(G62*0.1%)</f>
        <v>6135.84</v>
      </c>
      <c r="F62" s="73">
        <f>E62-D62</f>
        <v>325.68000000000029</v>
      </c>
      <c r="G62" s="839">
        <f>SUM(M63:M64)</f>
        <v>6135840</v>
      </c>
      <c r="H62" s="839"/>
      <c r="I62" s="839"/>
      <c r="J62" s="839"/>
      <c r="K62" s="839"/>
      <c r="L62" s="839"/>
      <c r="M62" s="840"/>
      <c r="N62" s="586" t="s">
        <v>225</v>
      </c>
      <c r="O62" s="578" t="s">
        <v>185</v>
      </c>
      <c r="P62" s="451">
        <v>0</v>
      </c>
      <c r="Q62" s="451"/>
      <c r="R62" s="451">
        <v>100000</v>
      </c>
      <c r="S62" s="451"/>
      <c r="T62" s="455"/>
      <c r="U62" s="451">
        <f>SUM(P62:S62)</f>
        <v>100000</v>
      </c>
      <c r="V62" s="452"/>
      <c r="W62" s="668">
        <f>22320*20</f>
        <v>446400</v>
      </c>
      <c r="X62" s="669" t="s">
        <v>366</v>
      </c>
      <c r="Y62" s="452"/>
      <c r="Z62" s="707"/>
      <c r="AA62" s="676">
        <v>2126000</v>
      </c>
      <c r="AB62" s="676"/>
      <c r="AC62" s="420"/>
    </row>
    <row r="63" spans="1:44" s="78" customFormat="1" ht="15" customHeight="1" thickBot="1" x14ac:dyDescent="0.35">
      <c r="A63" s="402"/>
      <c r="B63" s="403"/>
      <c r="C63" s="131"/>
      <c r="D63" s="385"/>
      <c r="E63" s="133"/>
      <c r="F63" s="73"/>
      <c r="G63" s="443" t="s">
        <v>213</v>
      </c>
      <c r="H63" s="711">
        <f>((M48+M55+M57+M58)*1/12)/12</f>
        <v>312453.33333333331</v>
      </c>
      <c r="I63" s="376" t="s">
        <v>160</v>
      </c>
      <c r="J63" s="376">
        <v>12</v>
      </c>
      <c r="K63" s="376" t="s">
        <v>156</v>
      </c>
      <c r="L63" s="376" t="s">
        <v>164</v>
      </c>
      <c r="M63" s="377">
        <f>ROUNDDOWN(H63*J63,-1)</f>
        <v>3749440</v>
      </c>
      <c r="N63" s="580">
        <f>M64+100000</f>
        <v>2486400</v>
      </c>
      <c r="O63" s="477" t="s">
        <v>226</v>
      </c>
      <c r="P63" s="470">
        <f>SUM(P62)</f>
        <v>0</v>
      </c>
      <c r="Q63" s="470">
        <f>SUM(Q62)</f>
        <v>0</v>
      </c>
      <c r="R63" s="470">
        <f>SUM(R62)</f>
        <v>100000</v>
      </c>
      <c r="S63" s="470"/>
      <c r="T63" s="455"/>
      <c r="U63" s="470">
        <f>SUM(P63:T63)</f>
        <v>100000</v>
      </c>
      <c r="V63" s="452"/>
      <c r="W63" s="670"/>
      <c r="X63" s="671"/>
      <c r="Y63" s="452"/>
      <c r="Z63" s="708">
        <f>SUM(Z61:Z62)</f>
        <v>3649440</v>
      </c>
      <c r="AA63" s="709">
        <f>SUM(AA61:AA62)</f>
        <v>2226000</v>
      </c>
      <c r="AB63" s="709">
        <f>SUM(AB61:AB62)</f>
        <v>260400</v>
      </c>
      <c r="AC63" s="710"/>
    </row>
    <row r="64" spans="1:44" s="78" customFormat="1" ht="15" customHeight="1" x14ac:dyDescent="0.3">
      <c r="A64" s="402"/>
      <c r="B64" s="403"/>
      <c r="C64" s="131"/>
      <c r="D64" s="385"/>
      <c r="E64" s="133"/>
      <c r="F64" s="73"/>
      <c r="G64" s="443" t="s">
        <v>324</v>
      </c>
      <c r="H64" s="375">
        <f>((M49+M56+M59+M60)*1/12)/12</f>
        <v>198866.66666666666</v>
      </c>
      <c r="I64" s="376" t="s">
        <v>160</v>
      </c>
      <c r="J64" s="376">
        <v>12</v>
      </c>
      <c r="K64" s="376" t="s">
        <v>156</v>
      </c>
      <c r="L64" s="376" t="s">
        <v>164</v>
      </c>
      <c r="M64" s="377">
        <f>ROUNDDOWN(H64*J64,-1)</f>
        <v>2386400</v>
      </c>
      <c r="O64" s="459"/>
      <c r="P64" s="459"/>
      <c r="Q64" s="459"/>
      <c r="R64" s="459"/>
      <c r="S64" s="459"/>
      <c r="T64" s="455"/>
      <c r="U64" s="459"/>
      <c r="V64" s="452"/>
      <c r="W64" s="452"/>
      <c r="X64" s="452"/>
      <c r="Y64" s="452"/>
      <c r="Z64" s="452"/>
      <c r="AA64" s="452"/>
      <c r="AB64" s="452"/>
    </row>
    <row r="65" spans="1:28" s="78" customFormat="1" ht="15" customHeight="1" x14ac:dyDescent="0.3">
      <c r="A65" s="402"/>
      <c r="B65" s="403"/>
      <c r="C65" s="131"/>
      <c r="D65" s="385"/>
      <c r="E65" s="133"/>
      <c r="F65" s="73"/>
      <c r="G65" s="769" t="s">
        <v>369</v>
      </c>
      <c r="H65" s="781"/>
      <c r="I65" s="781"/>
      <c r="J65" s="781"/>
      <c r="K65" s="781"/>
      <c r="L65" s="781"/>
      <c r="M65" s="782"/>
      <c r="N65" s="593"/>
      <c r="O65" s="450" t="s">
        <v>186</v>
      </c>
      <c r="P65" s="451" t="s">
        <v>223</v>
      </c>
      <c r="Q65" s="451" t="s">
        <v>224</v>
      </c>
      <c r="R65" s="451" t="s">
        <v>225</v>
      </c>
      <c r="S65" s="451" t="s">
        <v>180</v>
      </c>
      <c r="T65" s="455"/>
      <c r="U65" s="451" t="s">
        <v>226</v>
      </c>
      <c r="V65" s="452"/>
      <c r="W65" s="452"/>
      <c r="X65" s="452"/>
      <c r="Y65" s="452"/>
      <c r="Z65" s="452"/>
      <c r="AA65" s="452"/>
      <c r="AB65" s="452"/>
    </row>
    <row r="66" spans="1:28" s="78" customFormat="1" ht="15" customHeight="1" x14ac:dyDescent="0.3">
      <c r="A66" s="402"/>
      <c r="B66" s="403"/>
      <c r="C66" s="108" t="s">
        <v>94</v>
      </c>
      <c r="D66" s="385">
        <f>8864610*0.001</f>
        <v>8864.61</v>
      </c>
      <c r="E66" s="133">
        <f>(G66*0.1%)</f>
        <v>9271.6</v>
      </c>
      <c r="F66" s="73">
        <f>E66-D66</f>
        <v>406.98999999999978</v>
      </c>
      <c r="G66" s="764">
        <f>SUM(M67:M72)</f>
        <v>9271600</v>
      </c>
      <c r="H66" s="764"/>
      <c r="I66" s="764"/>
      <c r="J66" s="764"/>
      <c r="K66" s="764"/>
      <c r="L66" s="764"/>
      <c r="M66" s="848"/>
      <c r="N66" s="368"/>
      <c r="O66" s="451" t="s">
        <v>186</v>
      </c>
      <c r="P66" s="451"/>
      <c r="Q66" s="451">
        <v>2000000</v>
      </c>
      <c r="R66" s="451"/>
      <c r="S66" s="451"/>
      <c r="T66" s="455"/>
      <c r="U66" s="451">
        <f>SUM(P66:T66)</f>
        <v>2000000</v>
      </c>
      <c r="V66" s="452"/>
      <c r="W66" s="452"/>
      <c r="X66" s="452"/>
      <c r="Y66" s="452"/>
      <c r="Z66" s="452"/>
      <c r="AA66" s="452"/>
      <c r="AB66" s="452"/>
    </row>
    <row r="67" spans="1:28" s="78" customFormat="1" ht="15" customHeight="1" x14ac:dyDescent="0.3">
      <c r="A67" s="402"/>
      <c r="B67" s="403"/>
      <c r="C67" s="131"/>
      <c r="D67" s="385"/>
      <c r="E67" s="133"/>
      <c r="F67" s="73"/>
      <c r="G67" s="549" t="s">
        <v>12</v>
      </c>
      <c r="H67" s="550">
        <f>M48+M49+M55+M56+M57+M58+M59+M60</f>
        <v>73630080</v>
      </c>
      <c r="I67" s="551" t="s">
        <v>160</v>
      </c>
      <c r="J67" s="552">
        <v>3.5449999999999999</v>
      </c>
      <c r="K67" s="551" t="s">
        <v>151</v>
      </c>
      <c r="L67" s="551" t="s">
        <v>164</v>
      </c>
      <c r="M67" s="553">
        <f>ROUNDDOWN(H67*J67%,-1)-10</f>
        <v>2610170</v>
      </c>
      <c r="N67" s="593"/>
      <c r="O67" s="459"/>
      <c r="P67" s="459"/>
      <c r="Q67" s="459">
        <v>0</v>
      </c>
      <c r="R67" s="459"/>
      <c r="S67" s="459"/>
      <c r="T67" s="455"/>
      <c r="U67" s="451">
        <f>SUM(P67:T67)</f>
        <v>0</v>
      </c>
      <c r="V67" s="452"/>
      <c r="W67" s="452"/>
      <c r="X67" s="452"/>
      <c r="Y67" s="452"/>
      <c r="Z67" s="452"/>
      <c r="AA67" s="452"/>
      <c r="AB67" s="452"/>
    </row>
    <row r="68" spans="1:28" s="78" customFormat="1" ht="15" customHeight="1" x14ac:dyDescent="0.3">
      <c r="A68" s="402"/>
      <c r="B68" s="403"/>
      <c r="C68" s="131"/>
      <c r="D68" s="385"/>
      <c r="E68" s="133"/>
      <c r="F68" s="73"/>
      <c r="G68" s="549" t="s">
        <v>23</v>
      </c>
      <c r="H68" s="554">
        <f>M67</f>
        <v>2610170</v>
      </c>
      <c r="I68" s="551" t="s">
        <v>160</v>
      </c>
      <c r="J68" s="555">
        <v>12.95</v>
      </c>
      <c r="K68" s="551" t="s">
        <v>151</v>
      </c>
      <c r="L68" s="551" t="s">
        <v>164</v>
      </c>
      <c r="M68" s="553">
        <f>ROUNDDOWN(H68*J68%,-1)-10</f>
        <v>338000</v>
      </c>
      <c r="N68" s="368"/>
      <c r="O68" s="477" t="s">
        <v>226</v>
      </c>
      <c r="P68" s="470">
        <v>0</v>
      </c>
      <c r="Q68" s="477">
        <f>Q66+Q67</f>
        <v>2000000</v>
      </c>
      <c r="R68" s="477"/>
      <c r="S68" s="477">
        <f>SUM(S66)</f>
        <v>0</v>
      </c>
      <c r="T68" s="455"/>
      <c r="U68" s="470">
        <f>SUM(P68:T68)</f>
        <v>2000000</v>
      </c>
      <c r="V68" s="452"/>
      <c r="W68" s="452"/>
      <c r="X68" s="452"/>
      <c r="Y68" s="452"/>
      <c r="Z68" s="452"/>
      <c r="AA68" s="452"/>
      <c r="AB68" s="452"/>
    </row>
    <row r="69" spans="1:28" s="78" customFormat="1" ht="15" customHeight="1" x14ac:dyDescent="0.3">
      <c r="A69" s="402"/>
      <c r="B69" s="403"/>
      <c r="C69" s="131" t="s">
        <v>157</v>
      </c>
      <c r="D69" s="385"/>
      <c r="E69" s="133"/>
      <c r="F69" s="73"/>
      <c r="G69" s="549" t="s">
        <v>13</v>
      </c>
      <c r="H69" s="550">
        <f>H67</f>
        <v>73630080</v>
      </c>
      <c r="I69" s="551" t="s">
        <v>160</v>
      </c>
      <c r="J69" s="556">
        <v>4.5</v>
      </c>
      <c r="K69" s="551" t="s">
        <v>151</v>
      </c>
      <c r="L69" s="551" t="s">
        <v>164</v>
      </c>
      <c r="M69" s="553">
        <f t="shared" ref="M69:M70" si="26">ROUNDDOWN(H69*J69%,-1)</f>
        <v>3313350</v>
      </c>
      <c r="N69" s="368"/>
      <c r="O69" s="493" t="s">
        <v>190</v>
      </c>
      <c r="P69" s="454" t="s">
        <v>223</v>
      </c>
      <c r="Q69" s="454" t="s">
        <v>224</v>
      </c>
      <c r="R69" s="454" t="s">
        <v>225</v>
      </c>
      <c r="S69" s="454" t="s">
        <v>180</v>
      </c>
      <c r="T69" s="455"/>
      <c r="U69" s="459"/>
      <c r="V69" s="452"/>
      <c r="W69" s="452"/>
      <c r="X69" s="452"/>
      <c r="Y69" s="452"/>
      <c r="Z69" s="452"/>
      <c r="AA69" s="452"/>
      <c r="AB69" s="452"/>
    </row>
    <row r="70" spans="1:28" s="78" customFormat="1" ht="15" customHeight="1" x14ac:dyDescent="0.3">
      <c r="A70" s="402"/>
      <c r="B70" s="403"/>
      <c r="C70" s="131"/>
      <c r="D70" s="576"/>
      <c r="E70" s="136"/>
      <c r="F70" s="73"/>
      <c r="G70" s="549" t="s">
        <v>11</v>
      </c>
      <c r="H70" s="550">
        <f>H67</f>
        <v>73630080</v>
      </c>
      <c r="I70" s="551" t="s">
        <v>160</v>
      </c>
      <c r="J70" s="556">
        <v>1.1499999999999999</v>
      </c>
      <c r="K70" s="551" t="s">
        <v>151</v>
      </c>
      <c r="L70" s="551" t="s">
        <v>164</v>
      </c>
      <c r="M70" s="553">
        <f t="shared" si="26"/>
        <v>846740</v>
      </c>
      <c r="N70" s="368"/>
      <c r="O70" s="454" t="s">
        <v>190</v>
      </c>
      <c r="P70" s="459">
        <v>0</v>
      </c>
      <c r="Q70" s="494">
        <f>9579898+2543090+4398270+503760+10998080</f>
        <v>28023098</v>
      </c>
      <c r="R70" s="494">
        <f>22413631-3523520-600000-34980-200000-1000000+274383</f>
        <v>17329514</v>
      </c>
      <c r="S70" s="459"/>
      <c r="T70" s="455"/>
      <c r="U70" s="451">
        <f>SUM(P70:T70)</f>
        <v>45352612</v>
      </c>
      <c r="V70" s="452"/>
      <c r="W70" s="452"/>
      <c r="X70" s="452"/>
      <c r="Y70" s="452"/>
      <c r="Z70" s="452"/>
      <c r="AA70" s="452"/>
      <c r="AB70" s="452"/>
    </row>
    <row r="71" spans="1:28" s="78" customFormat="1" ht="15" customHeight="1" x14ac:dyDescent="0.3">
      <c r="A71" s="402"/>
      <c r="B71" s="403"/>
      <c r="C71" s="108"/>
      <c r="D71" s="385"/>
      <c r="E71" s="133"/>
      <c r="F71" s="73"/>
      <c r="G71" s="549" t="s">
        <v>16</v>
      </c>
      <c r="H71" s="550">
        <f>H67</f>
        <v>73630080</v>
      </c>
      <c r="I71" s="551" t="s">
        <v>160</v>
      </c>
      <c r="J71" s="556">
        <v>0.76</v>
      </c>
      <c r="K71" s="551" t="s">
        <v>151</v>
      </c>
      <c r="L71" s="551" t="s">
        <v>164</v>
      </c>
      <c r="M71" s="553">
        <f>ROUNDDOWN(H71*J71%,-1)</f>
        <v>559580</v>
      </c>
      <c r="N71" s="368"/>
      <c r="O71" s="454" t="s">
        <v>270</v>
      </c>
      <c r="P71" s="459"/>
      <c r="Q71" s="459">
        <v>57216035</v>
      </c>
      <c r="R71" s="459">
        <v>13000000</v>
      </c>
      <c r="S71" s="459"/>
      <c r="T71" s="455"/>
      <c r="U71" s="451">
        <f>SUM(P71:T71)</f>
        <v>70216035</v>
      </c>
      <c r="V71" s="452"/>
      <c r="W71" s="452"/>
      <c r="X71" s="452"/>
      <c r="Y71" s="452"/>
      <c r="Z71" s="452"/>
      <c r="AA71" s="452"/>
      <c r="AB71" s="452"/>
    </row>
    <row r="72" spans="1:28" s="78" customFormat="1" ht="15" customHeight="1" x14ac:dyDescent="0.3">
      <c r="A72" s="402"/>
      <c r="B72" s="403"/>
      <c r="C72" s="108"/>
      <c r="D72" s="385"/>
      <c r="E72" s="133"/>
      <c r="F72" s="73"/>
      <c r="G72" s="549" t="s">
        <v>218</v>
      </c>
      <c r="H72" s="550">
        <v>1603760</v>
      </c>
      <c r="I72" s="551" t="s">
        <v>160</v>
      </c>
      <c r="J72" s="551">
        <v>1</v>
      </c>
      <c r="K72" s="551" t="s">
        <v>309</v>
      </c>
      <c r="L72" s="551" t="s">
        <v>164</v>
      </c>
      <c r="M72" s="553">
        <f>H72*J72</f>
        <v>1603760</v>
      </c>
      <c r="N72" s="368"/>
      <c r="O72" s="454" t="s">
        <v>332</v>
      </c>
      <c r="P72" s="459"/>
      <c r="Q72" s="459">
        <v>60820258</v>
      </c>
      <c r="R72" s="459">
        <v>0</v>
      </c>
      <c r="S72" s="459"/>
      <c r="T72" s="455"/>
      <c r="U72" s="451">
        <f>SUM(P72:T72)</f>
        <v>60820258</v>
      </c>
      <c r="V72" s="452"/>
      <c r="W72" s="452"/>
      <c r="X72" s="452">
        <v>13333537</v>
      </c>
      <c r="Y72" s="452">
        <v>13000000</v>
      </c>
      <c r="Z72" s="452"/>
      <c r="AA72" s="452"/>
      <c r="AB72" s="452"/>
    </row>
    <row r="73" spans="1:28" s="78" customFormat="1" ht="15" customHeight="1" x14ac:dyDescent="0.3">
      <c r="A73" s="402"/>
      <c r="B73" s="403"/>
      <c r="C73" s="131"/>
      <c r="D73" s="385"/>
      <c r="E73" s="133"/>
      <c r="F73" s="73"/>
      <c r="G73" s="775" t="s">
        <v>370</v>
      </c>
      <c r="H73" s="775"/>
      <c r="I73" s="775"/>
      <c r="J73" s="775"/>
      <c r="K73" s="775"/>
      <c r="L73" s="775"/>
      <c r="M73" s="841"/>
      <c r="N73" s="368"/>
      <c r="O73" s="620" t="s">
        <v>347</v>
      </c>
      <c r="P73" s="136"/>
      <c r="Q73" s="204">
        <v>5000000</v>
      </c>
      <c r="R73" s="204">
        <v>5250000</v>
      </c>
      <c r="S73" s="136"/>
      <c r="T73" s="136"/>
      <c r="U73" s="136"/>
      <c r="V73" s="452"/>
      <c r="W73" s="452"/>
      <c r="X73" s="452">
        <v>70216035</v>
      </c>
      <c r="Y73" s="452">
        <v>0</v>
      </c>
      <c r="Z73" s="452"/>
      <c r="AA73" s="452"/>
      <c r="AB73" s="452"/>
    </row>
    <row r="74" spans="1:28" s="78" customFormat="1" ht="15" customHeight="1" x14ac:dyDescent="0.3">
      <c r="A74" s="30"/>
      <c r="B74" s="204"/>
      <c r="C74" s="31" t="s">
        <v>24</v>
      </c>
      <c r="D74" s="385">
        <f>1600000*0.001</f>
        <v>1600</v>
      </c>
      <c r="E74" s="133">
        <f>G74*0.1%</f>
        <v>1600</v>
      </c>
      <c r="F74" s="54">
        <f>E74-D74</f>
        <v>0</v>
      </c>
      <c r="G74" s="764">
        <f>SUM(M75:M76)</f>
        <v>1600000</v>
      </c>
      <c r="H74" s="764"/>
      <c r="I74" s="764"/>
      <c r="J74" s="764"/>
      <c r="K74" s="764"/>
      <c r="L74" s="764"/>
      <c r="M74" s="848"/>
      <c r="N74" s="368"/>
      <c r="O74" s="477" t="s">
        <v>226</v>
      </c>
      <c r="P74" s="477">
        <f>SUM(P70)</f>
        <v>0</v>
      </c>
      <c r="Q74" s="477">
        <f>SUM(Q70:Q73)</f>
        <v>151059391</v>
      </c>
      <c r="R74" s="477">
        <f>SUM(R70:R73)</f>
        <v>35579514</v>
      </c>
      <c r="S74" s="477">
        <f>SUM(S70:S72)</f>
        <v>0</v>
      </c>
      <c r="T74" s="455"/>
      <c r="U74" s="477">
        <f>SUM(P74:T74)</f>
        <v>186638905</v>
      </c>
      <c r="V74" s="452"/>
      <c r="W74" s="452"/>
      <c r="X74" s="452">
        <f>SUM(X72:X73)</f>
        <v>83549572</v>
      </c>
      <c r="Y74" s="452">
        <f>SUM(Y72:Y73)</f>
        <v>13000000</v>
      </c>
      <c r="Z74" s="452">
        <v>95336908</v>
      </c>
      <c r="AA74" s="452"/>
      <c r="AB74" s="452"/>
    </row>
    <row r="75" spans="1:28" s="78" customFormat="1" ht="15" customHeight="1" x14ac:dyDescent="0.3">
      <c r="A75" s="30"/>
      <c r="B75" s="204"/>
      <c r="C75" s="132"/>
      <c r="D75" s="576"/>
      <c r="E75" s="136"/>
      <c r="F75" s="54"/>
      <c r="G75" s="444" t="s">
        <v>46</v>
      </c>
      <c r="H75" s="445">
        <v>200000</v>
      </c>
      <c r="I75" s="445" t="s">
        <v>160</v>
      </c>
      <c r="J75" s="445">
        <v>2</v>
      </c>
      <c r="K75" s="445" t="s">
        <v>161</v>
      </c>
      <c r="L75" s="445" t="s">
        <v>164</v>
      </c>
      <c r="M75" s="432">
        <f>H75*J75</f>
        <v>400000</v>
      </c>
      <c r="N75" s="368"/>
      <c r="O75" s="493" t="s">
        <v>308</v>
      </c>
      <c r="P75" s="454" t="s">
        <v>223</v>
      </c>
      <c r="Q75" s="454" t="s">
        <v>224</v>
      </c>
      <c r="R75" s="454" t="s">
        <v>225</v>
      </c>
      <c r="S75" s="454" t="s">
        <v>180</v>
      </c>
      <c r="T75" s="495" t="s">
        <v>310</v>
      </c>
      <c r="U75" s="459"/>
      <c r="V75" s="452"/>
      <c r="W75" s="452"/>
      <c r="X75" s="452"/>
      <c r="Y75" s="452"/>
      <c r="Z75" s="452"/>
      <c r="AA75" s="452"/>
      <c r="AB75" s="452"/>
    </row>
    <row r="76" spans="1:28" s="78" customFormat="1" ht="15" customHeight="1" x14ac:dyDescent="0.3">
      <c r="A76" s="30"/>
      <c r="B76" s="204"/>
      <c r="C76" s="132"/>
      <c r="D76" s="385"/>
      <c r="E76" s="133"/>
      <c r="F76" s="54"/>
      <c r="G76" s="444" t="s">
        <v>131</v>
      </c>
      <c r="H76" s="375">
        <v>600000</v>
      </c>
      <c r="I76" s="376" t="s">
        <v>160</v>
      </c>
      <c r="J76" s="376">
        <v>2</v>
      </c>
      <c r="K76" s="376" t="s">
        <v>161</v>
      </c>
      <c r="L76" s="376" t="s">
        <v>164</v>
      </c>
      <c r="M76" s="432">
        <f>H76*J76</f>
        <v>1200000</v>
      </c>
      <c r="N76" s="368"/>
      <c r="O76" s="454" t="s">
        <v>308</v>
      </c>
      <c r="P76" s="459">
        <v>0</v>
      </c>
      <c r="Q76" s="494">
        <v>10000000</v>
      </c>
      <c r="R76" s="494">
        <v>0</v>
      </c>
      <c r="S76" s="459">
        <v>0</v>
      </c>
      <c r="T76" s="455">
        <v>10000000</v>
      </c>
      <c r="U76" s="451">
        <f>SUM(P76:T76)</f>
        <v>20000000</v>
      </c>
      <c r="V76" s="452"/>
      <c r="W76" s="452"/>
      <c r="X76" s="452"/>
      <c r="Y76" s="452"/>
      <c r="Z76" s="452"/>
      <c r="AA76" s="469"/>
      <c r="AB76" s="452"/>
    </row>
    <row r="77" spans="1:28" s="78" customFormat="1" ht="15" customHeight="1" x14ac:dyDescent="0.3">
      <c r="A77" s="30"/>
      <c r="B77" s="204"/>
      <c r="C77" s="132"/>
      <c r="D77" s="385"/>
      <c r="E77" s="133"/>
      <c r="F77" s="54"/>
      <c r="G77" s="769" t="s">
        <v>336</v>
      </c>
      <c r="H77" s="770"/>
      <c r="I77" s="770"/>
      <c r="J77" s="770"/>
      <c r="K77" s="770"/>
      <c r="L77" s="770"/>
      <c r="M77" s="771"/>
      <c r="N77" s="461"/>
      <c r="O77" s="454"/>
      <c r="P77" s="459"/>
      <c r="Q77" s="459"/>
      <c r="R77" s="459"/>
      <c r="S77" s="459"/>
      <c r="T77" s="455"/>
      <c r="U77" s="451">
        <f>SUM(P77:T77)</f>
        <v>0</v>
      </c>
      <c r="V77" s="469">
        <v>26913273</v>
      </c>
      <c r="W77" s="469"/>
      <c r="X77" s="469"/>
      <c r="Y77" s="469"/>
      <c r="Z77" s="469"/>
      <c r="AA77" s="473"/>
      <c r="AB77" s="452"/>
    </row>
    <row r="78" spans="1:28" s="211" customFormat="1" ht="15" customHeight="1" x14ac:dyDescent="0.3">
      <c r="A78" s="40"/>
      <c r="B78" s="210" t="s">
        <v>181</v>
      </c>
      <c r="C78" s="210" t="s">
        <v>154</v>
      </c>
      <c r="D78" s="574">
        <f>5400000*0.001</f>
        <v>5400</v>
      </c>
      <c r="E78" s="138">
        <f>E79+E82</f>
        <v>5400</v>
      </c>
      <c r="F78" s="55">
        <f>E78-D78</f>
        <v>0</v>
      </c>
      <c r="G78" s="778" t="s">
        <v>356</v>
      </c>
      <c r="H78" s="778"/>
      <c r="I78" s="778"/>
      <c r="J78" s="778"/>
      <c r="K78" s="778"/>
      <c r="L78" s="778"/>
      <c r="M78" s="640">
        <f>G79+G82</f>
        <v>5400000</v>
      </c>
      <c r="N78" s="472"/>
      <c r="O78" s="477" t="s">
        <v>226</v>
      </c>
      <c r="P78" s="477">
        <f>SUM(P76)</f>
        <v>0</v>
      </c>
      <c r="Q78" s="477">
        <f>SUM(Q76:Q77)</f>
        <v>10000000</v>
      </c>
      <c r="R78" s="477">
        <f>SUM(R76:R77)</f>
        <v>0</v>
      </c>
      <c r="S78" s="477">
        <f>SUM(S76)</f>
        <v>0</v>
      </c>
      <c r="T78" s="477">
        <f>SUM(T76)</f>
        <v>10000000</v>
      </c>
      <c r="U78" s="477">
        <f>SUM(P78:T78)</f>
        <v>20000000</v>
      </c>
      <c r="V78" s="473"/>
      <c r="W78" s="473"/>
      <c r="X78" s="473"/>
      <c r="Y78" s="473"/>
      <c r="Z78" s="473"/>
      <c r="AA78" s="452"/>
      <c r="AB78" s="452"/>
    </row>
    <row r="79" spans="1:28" s="77" customFormat="1" ht="15" customHeight="1" x14ac:dyDescent="0.3">
      <c r="A79" s="30"/>
      <c r="B79" s="204"/>
      <c r="C79" s="31" t="s">
        <v>31</v>
      </c>
      <c r="D79" s="385">
        <f>4200000*0.001</f>
        <v>4200</v>
      </c>
      <c r="E79" s="133">
        <f>(G79*0.1%)</f>
        <v>4200</v>
      </c>
      <c r="F79" s="54">
        <f>E79-D79</f>
        <v>0</v>
      </c>
      <c r="G79" s="878">
        <f>SUM(M80:M80)</f>
        <v>4200000</v>
      </c>
      <c r="H79" s="879"/>
      <c r="I79" s="879"/>
      <c r="J79" s="879"/>
      <c r="K79" s="879"/>
      <c r="L79" s="879"/>
      <c r="M79" s="880"/>
      <c r="N79" s="368"/>
      <c r="O79" s="493" t="s">
        <v>204</v>
      </c>
      <c r="P79" s="454" t="s">
        <v>271</v>
      </c>
      <c r="Q79" s="454" t="s">
        <v>272</v>
      </c>
      <c r="R79" s="454" t="s">
        <v>273</v>
      </c>
      <c r="S79" s="454" t="s">
        <v>274</v>
      </c>
      <c r="T79" s="495" t="s">
        <v>310</v>
      </c>
      <c r="U79" s="454"/>
      <c r="V79" s="452"/>
      <c r="W79" s="452"/>
      <c r="X79" s="452"/>
      <c r="Y79" s="452"/>
      <c r="Z79" s="452"/>
      <c r="AA79" s="452"/>
      <c r="AB79" s="452"/>
    </row>
    <row r="80" spans="1:28" s="78" customFormat="1" ht="15" customHeight="1" x14ac:dyDescent="0.3">
      <c r="A80" s="30"/>
      <c r="B80" s="204"/>
      <c r="C80" s="132"/>
      <c r="D80" s="385"/>
      <c r="E80" s="133"/>
      <c r="F80" s="54"/>
      <c r="G80" s="323" t="s">
        <v>99</v>
      </c>
      <c r="H80" s="661">
        <v>350000</v>
      </c>
      <c r="I80" s="661" t="s">
        <v>160</v>
      </c>
      <c r="J80" s="661">
        <v>12</v>
      </c>
      <c r="K80" s="661" t="s">
        <v>161</v>
      </c>
      <c r="L80" s="661" t="s">
        <v>164</v>
      </c>
      <c r="M80" s="432">
        <f>H80*J80</f>
        <v>4200000</v>
      </c>
      <c r="N80" s="368"/>
      <c r="O80" s="459"/>
      <c r="P80" s="496">
        <f>P26+P31+P39+P44+P59+P63+P68+P74</f>
        <v>74600000</v>
      </c>
      <c r="Q80" s="496">
        <f>Q26+Q31+Q39+Q44+Q59+Q63+Q68+Q74+Q78</f>
        <v>193919551</v>
      </c>
      <c r="R80" s="496">
        <f>R26+R31+R39+R44+R59+R63+R68+R74+R78</f>
        <v>71399314</v>
      </c>
      <c r="S80" s="496">
        <f>S26+S31+S39+S44+S59+S63+S68+S74</f>
        <v>25200000</v>
      </c>
      <c r="T80" s="496">
        <f>T26+T31+T39+T44+T59+T63+T68+T74+T78</f>
        <v>25000000</v>
      </c>
      <c r="U80" s="496">
        <f>SUM(P80:T80)</f>
        <v>390118865</v>
      </c>
      <c r="V80" s="452"/>
      <c r="W80" s="452"/>
      <c r="X80" s="452"/>
      <c r="Y80" s="452"/>
      <c r="Z80" s="452"/>
      <c r="AA80" s="452"/>
      <c r="AB80" s="452"/>
    </row>
    <row r="81" spans="1:28" ht="15" customHeight="1" x14ac:dyDescent="0.3">
      <c r="A81" s="30"/>
      <c r="B81" s="204"/>
      <c r="C81" s="132"/>
      <c r="D81" s="385"/>
      <c r="E81" s="133"/>
      <c r="F81" s="54"/>
      <c r="G81" s="769" t="s">
        <v>355</v>
      </c>
      <c r="H81" s="770"/>
      <c r="I81" s="770"/>
      <c r="J81" s="770"/>
      <c r="K81" s="770"/>
      <c r="L81" s="770"/>
      <c r="M81" s="771"/>
      <c r="N81" s="368"/>
      <c r="O81" s="496"/>
      <c r="P81" s="459"/>
      <c r="Q81" s="459"/>
      <c r="R81" s="459"/>
      <c r="S81" s="459"/>
      <c r="T81" s="462"/>
      <c r="U81" s="459"/>
      <c r="V81" s="452"/>
      <c r="W81" s="452"/>
      <c r="X81" s="452"/>
      <c r="Y81" s="452"/>
      <c r="Z81" s="452"/>
      <c r="AA81" s="452"/>
      <c r="AB81" s="452"/>
    </row>
    <row r="82" spans="1:28" ht="15" customHeight="1" x14ac:dyDescent="0.3">
      <c r="A82" s="30"/>
      <c r="B82" s="204"/>
      <c r="C82" s="31" t="s">
        <v>165</v>
      </c>
      <c r="D82" s="385">
        <f>1200000*0.001</f>
        <v>1200</v>
      </c>
      <c r="E82" s="133">
        <f>(G82*0.1%)</f>
        <v>1200</v>
      </c>
      <c r="F82" s="54">
        <f>E82-D82</f>
        <v>0</v>
      </c>
      <c r="G82" s="764">
        <f>SUM(M83:M83)</f>
        <v>1200000</v>
      </c>
      <c r="H82" s="765"/>
      <c r="I82" s="765"/>
      <c r="J82" s="765"/>
      <c r="K82" s="765"/>
      <c r="L82" s="765"/>
      <c r="M82" s="766"/>
      <c r="N82" s="78"/>
      <c r="O82" s="454" t="s">
        <v>275</v>
      </c>
      <c r="P82" s="454">
        <f>P16</f>
        <v>74600000</v>
      </c>
      <c r="Q82" s="454">
        <f>Q16</f>
        <v>193919551</v>
      </c>
      <c r="R82" s="454">
        <f>R16</f>
        <v>71399314</v>
      </c>
      <c r="S82" s="454">
        <f>S16</f>
        <v>25200000</v>
      </c>
      <c r="T82" s="545">
        <f>T16</f>
        <v>25000000</v>
      </c>
      <c r="U82" s="454">
        <f>SUM(P82:T82)</f>
        <v>390118865</v>
      </c>
      <c r="V82" s="452"/>
      <c r="W82" s="452"/>
      <c r="X82" s="452"/>
      <c r="Y82" s="452"/>
      <c r="Z82" s="452"/>
      <c r="AA82" s="452"/>
      <c r="AB82" s="452"/>
    </row>
    <row r="83" spans="1:28" ht="15" customHeight="1" x14ac:dyDescent="0.3">
      <c r="A83" s="30"/>
      <c r="B83" s="204"/>
      <c r="C83" s="132"/>
      <c r="D83" s="385"/>
      <c r="E83" s="133"/>
      <c r="F83" s="54"/>
      <c r="G83" s="442" t="s">
        <v>126</v>
      </c>
      <c r="H83" s="662">
        <v>400000</v>
      </c>
      <c r="I83" s="635" t="s">
        <v>160</v>
      </c>
      <c r="J83" s="635">
        <v>3</v>
      </c>
      <c r="K83" s="635" t="s">
        <v>161</v>
      </c>
      <c r="L83" s="635" t="s">
        <v>164</v>
      </c>
      <c r="M83" s="432">
        <f>H83*J83</f>
        <v>1200000</v>
      </c>
      <c r="N83" s="368"/>
      <c r="O83" s="454"/>
      <c r="P83" s="454">
        <f>P82-P80</f>
        <v>0</v>
      </c>
      <c r="Q83" s="712">
        <f>Q82-Q80</f>
        <v>0</v>
      </c>
      <c r="R83" s="712">
        <f>R82-R80</f>
        <v>0</v>
      </c>
      <c r="S83" s="454">
        <f>S82-S80</f>
        <v>0</v>
      </c>
      <c r="T83" s="454">
        <f>T82-T80</f>
        <v>0</v>
      </c>
      <c r="U83" s="454"/>
      <c r="V83" s="452"/>
      <c r="W83" s="452"/>
      <c r="X83" s="452"/>
      <c r="Y83" s="452"/>
      <c r="Z83" s="452"/>
      <c r="AA83" s="452"/>
      <c r="AB83" s="452"/>
    </row>
    <row r="84" spans="1:28" s="78" customFormat="1" ht="15" customHeight="1" thickBot="1" x14ac:dyDescent="0.35">
      <c r="A84" s="35"/>
      <c r="B84" s="36"/>
      <c r="C84" s="253"/>
      <c r="D84" s="611"/>
      <c r="E84" s="137"/>
      <c r="F84" s="56"/>
      <c r="G84" s="761" t="s">
        <v>325</v>
      </c>
      <c r="H84" s="762"/>
      <c r="I84" s="762"/>
      <c r="J84" s="762"/>
      <c r="K84" s="762"/>
      <c r="L84" s="762"/>
      <c r="M84" s="763"/>
      <c r="N84" s="368"/>
      <c r="O84" s="594"/>
      <c r="P84" s="595"/>
      <c r="Q84" s="477"/>
      <c r="R84" s="477"/>
      <c r="S84" s="477"/>
      <c r="T84" s="455"/>
      <c r="U84" s="477"/>
      <c r="W84" s="452"/>
      <c r="X84" s="452"/>
      <c r="Y84" s="452"/>
      <c r="Z84" s="452"/>
      <c r="AA84" s="452"/>
      <c r="AB84" s="452"/>
    </row>
    <row r="85" spans="1:28" s="78" customFormat="1" ht="15.2" customHeight="1" x14ac:dyDescent="0.3">
      <c r="A85" s="230" t="s">
        <v>112</v>
      </c>
      <c r="B85" s="231"/>
      <c r="C85" s="232"/>
      <c r="D85" s="233"/>
      <c r="E85" s="202"/>
      <c r="F85" s="234"/>
      <c r="G85" s="235"/>
      <c r="H85" s="79"/>
      <c r="I85" s="79"/>
      <c r="J85" s="79"/>
      <c r="K85" s="79"/>
      <c r="L85" s="79"/>
      <c r="M85" s="236"/>
      <c r="N85" s="596" t="s">
        <v>223</v>
      </c>
      <c r="O85" s="597" t="s">
        <v>233</v>
      </c>
      <c r="P85" s="598" t="s">
        <v>226</v>
      </c>
      <c r="V85" s="452"/>
      <c r="W85" s="452"/>
      <c r="X85" s="452"/>
      <c r="Y85" s="452"/>
      <c r="Z85" s="452"/>
      <c r="AA85" s="452"/>
      <c r="AB85" s="452"/>
    </row>
    <row r="86" spans="1:28" s="78" customFormat="1" ht="15.2" customHeight="1" thickBot="1" x14ac:dyDescent="0.35">
      <c r="A86" s="155"/>
      <c r="B86" s="156"/>
      <c r="C86" s="156"/>
      <c r="D86" s="156"/>
      <c r="E86" s="203"/>
      <c r="F86" s="158"/>
      <c r="G86" s="157"/>
      <c r="H86" s="156"/>
      <c r="I86" s="156"/>
      <c r="J86" s="156"/>
      <c r="K86" s="156"/>
      <c r="L86" s="156"/>
      <c r="M86" s="159" t="s">
        <v>26</v>
      </c>
      <c r="N86" s="599">
        <f>P39</f>
        <v>6046640</v>
      </c>
      <c r="O86" s="600">
        <f>Q39</f>
        <v>7490160</v>
      </c>
      <c r="P86" s="601">
        <f>SUM(N86:O86)</f>
        <v>13536800</v>
      </c>
      <c r="Q86" s="368"/>
      <c r="R86" s="368"/>
      <c r="S86" s="368"/>
      <c r="T86" s="368"/>
      <c r="U86" s="452"/>
      <c r="V86" s="452"/>
      <c r="W86" s="452"/>
      <c r="X86" s="452"/>
      <c r="Y86" s="452"/>
      <c r="Z86" s="452"/>
      <c r="AA86" s="452"/>
      <c r="AB86" s="452"/>
    </row>
    <row r="87" spans="1:28" s="78" customFormat="1" ht="17.100000000000001" customHeight="1" x14ac:dyDescent="0.3">
      <c r="A87" s="816" t="s">
        <v>82</v>
      </c>
      <c r="B87" s="817"/>
      <c r="C87" s="817" t="s">
        <v>163</v>
      </c>
      <c r="D87" s="751" t="s">
        <v>357</v>
      </c>
      <c r="E87" s="751" t="s">
        <v>361</v>
      </c>
      <c r="F87" s="753" t="s">
        <v>20</v>
      </c>
      <c r="G87" s="757" t="s">
        <v>200</v>
      </c>
      <c r="H87" s="758"/>
      <c r="I87" s="758"/>
      <c r="J87" s="758"/>
      <c r="K87" s="758"/>
      <c r="L87" s="758"/>
      <c r="M87" s="759"/>
      <c r="N87" s="368"/>
      <c r="O87" s="461"/>
      <c r="P87" s="461"/>
      <c r="Q87" s="461"/>
      <c r="R87" s="461"/>
      <c r="S87" s="461"/>
      <c r="T87" s="461"/>
      <c r="U87" s="452"/>
      <c r="V87" s="469"/>
      <c r="W87" s="469"/>
      <c r="X87" s="469"/>
      <c r="Y87" s="469"/>
      <c r="Z87" s="469"/>
      <c r="AA87" s="469"/>
      <c r="AB87" s="452"/>
    </row>
    <row r="88" spans="1:28" s="78" customFormat="1" ht="17.100000000000001" customHeight="1" x14ac:dyDescent="0.3">
      <c r="A88" s="21" t="s">
        <v>155</v>
      </c>
      <c r="B88" s="207" t="s">
        <v>150</v>
      </c>
      <c r="C88" s="22" t="s">
        <v>163</v>
      </c>
      <c r="D88" s="752"/>
      <c r="E88" s="752"/>
      <c r="F88" s="754"/>
      <c r="G88" s="752"/>
      <c r="H88" s="752"/>
      <c r="I88" s="752"/>
      <c r="J88" s="752"/>
      <c r="K88" s="752"/>
      <c r="L88" s="752"/>
      <c r="M88" s="760"/>
      <c r="V88" s="452"/>
      <c r="W88" s="452"/>
      <c r="X88" s="452"/>
      <c r="Y88" s="452"/>
      <c r="Z88" s="452"/>
      <c r="AA88" s="452"/>
      <c r="AB88" s="452"/>
    </row>
    <row r="89" spans="1:28" s="211" customFormat="1" ht="17.100000000000001" customHeight="1" x14ac:dyDescent="0.3">
      <c r="A89" s="40"/>
      <c r="B89" s="123" t="s">
        <v>182</v>
      </c>
      <c r="C89" s="210" t="s">
        <v>154</v>
      </c>
      <c r="D89" s="574">
        <f>13796800*0.001</f>
        <v>13796.800000000001</v>
      </c>
      <c r="E89" s="138">
        <f>M89*0.001</f>
        <v>13736.800000000001</v>
      </c>
      <c r="F89" s="55">
        <f>E89-D89</f>
        <v>-60</v>
      </c>
      <c r="G89" s="778" t="s">
        <v>358</v>
      </c>
      <c r="H89" s="778"/>
      <c r="I89" s="778"/>
      <c r="J89" s="778"/>
      <c r="K89" s="778"/>
      <c r="L89" s="778"/>
      <c r="M89" s="639">
        <f>G90+G94+G102+M107+G112</f>
        <v>13736800</v>
      </c>
      <c r="V89" s="452"/>
      <c r="W89" s="452"/>
      <c r="X89" s="452"/>
      <c r="Y89" s="452"/>
      <c r="Z89" s="452"/>
      <c r="AA89" s="452"/>
      <c r="AB89" s="452"/>
    </row>
    <row r="90" spans="1:28" s="78" customFormat="1" ht="17.100000000000001" customHeight="1" x14ac:dyDescent="0.3">
      <c r="A90" s="30"/>
      <c r="B90" s="204"/>
      <c r="C90" s="31" t="s">
        <v>174</v>
      </c>
      <c r="D90" s="385">
        <f>1520000*0.001</f>
        <v>1520</v>
      </c>
      <c r="E90" s="133">
        <f>(G90*0.1%)</f>
        <v>1520</v>
      </c>
      <c r="F90" s="54">
        <f>E90-D90</f>
        <v>0</v>
      </c>
      <c r="G90" s="780">
        <f>SUM(M91:M92)</f>
        <v>1520000</v>
      </c>
      <c r="H90" s="773"/>
      <c r="I90" s="773"/>
      <c r="J90" s="773"/>
      <c r="K90" s="773"/>
      <c r="L90" s="773"/>
      <c r="M90" s="774"/>
      <c r="N90" s="497"/>
      <c r="O90" s="368"/>
      <c r="P90" s="368"/>
      <c r="Q90" s="368"/>
      <c r="R90" s="368"/>
      <c r="S90" s="368"/>
      <c r="T90" s="368"/>
      <c r="U90" s="452"/>
      <c r="V90" s="452"/>
      <c r="W90" s="452"/>
      <c r="X90" s="452"/>
      <c r="Y90" s="452"/>
      <c r="Z90" s="452"/>
      <c r="AA90" s="452"/>
      <c r="AB90" s="452"/>
    </row>
    <row r="91" spans="1:28" s="78" customFormat="1" ht="17.100000000000001" customHeight="1" x14ac:dyDescent="0.3">
      <c r="A91" s="30"/>
      <c r="B91" s="204"/>
      <c r="C91" s="132"/>
      <c r="D91" s="385"/>
      <c r="E91" s="133"/>
      <c r="F91" s="54"/>
      <c r="G91" s="141" t="s">
        <v>47</v>
      </c>
      <c r="H91" s="51">
        <v>50000</v>
      </c>
      <c r="I91" s="636" t="s">
        <v>160</v>
      </c>
      <c r="J91" s="150">
        <v>4</v>
      </c>
      <c r="K91" s="150" t="s">
        <v>156</v>
      </c>
      <c r="L91" s="150" t="s">
        <v>164</v>
      </c>
      <c r="M91" s="431">
        <f>H91*J91</f>
        <v>200000</v>
      </c>
      <c r="N91" s="368"/>
      <c r="O91" s="368"/>
      <c r="P91" s="368"/>
      <c r="Q91" s="368"/>
      <c r="R91" s="368"/>
      <c r="S91" s="368"/>
      <c r="T91" s="368"/>
      <c r="U91" s="452"/>
      <c r="V91" s="452"/>
      <c r="W91" s="452"/>
      <c r="X91" s="452"/>
      <c r="Y91" s="452"/>
      <c r="Z91" s="452"/>
      <c r="AA91" s="452"/>
      <c r="AB91" s="452"/>
    </row>
    <row r="92" spans="1:28" s="78" customFormat="1" ht="17.100000000000001" customHeight="1" x14ac:dyDescent="0.3">
      <c r="A92" s="30"/>
      <c r="B92" s="204"/>
      <c r="C92" s="132"/>
      <c r="D92" s="385"/>
      <c r="E92" s="133"/>
      <c r="F92" s="54"/>
      <c r="G92" s="141" t="s">
        <v>15</v>
      </c>
      <c r="H92" s="51">
        <v>165000</v>
      </c>
      <c r="I92" s="150" t="s">
        <v>160</v>
      </c>
      <c r="J92" s="150">
        <v>8</v>
      </c>
      <c r="K92" s="150" t="s">
        <v>162</v>
      </c>
      <c r="L92" s="150" t="s">
        <v>164</v>
      </c>
      <c r="M92" s="431">
        <f>H92*J92</f>
        <v>1320000</v>
      </c>
      <c r="N92" s="368"/>
      <c r="O92" s="452"/>
      <c r="P92" s="471"/>
      <c r="Q92" s="452"/>
      <c r="R92" s="452"/>
      <c r="S92" s="452"/>
      <c r="T92" s="452"/>
      <c r="U92" s="452"/>
      <c r="V92" s="452"/>
      <c r="W92" s="452"/>
      <c r="X92" s="452"/>
      <c r="Y92" s="452"/>
      <c r="Z92" s="452"/>
      <c r="AA92" s="452"/>
      <c r="AB92" s="452"/>
    </row>
    <row r="93" spans="1:28" s="78" customFormat="1" ht="17.100000000000001" customHeight="1" x14ac:dyDescent="0.3">
      <c r="A93" s="30"/>
      <c r="B93" s="204"/>
      <c r="C93" s="132"/>
      <c r="D93" s="385"/>
      <c r="E93" s="133"/>
      <c r="F93" s="54"/>
      <c r="G93" s="769" t="s">
        <v>337</v>
      </c>
      <c r="H93" s="781"/>
      <c r="I93" s="781"/>
      <c r="J93" s="781"/>
      <c r="K93" s="781"/>
      <c r="L93" s="781"/>
      <c r="M93" s="782"/>
      <c r="N93" s="368"/>
      <c r="O93" s="452"/>
      <c r="P93" s="452"/>
      <c r="Q93" s="452"/>
      <c r="R93" s="452"/>
      <c r="S93" s="452"/>
      <c r="T93" s="452"/>
      <c r="U93" s="452"/>
      <c r="V93" s="452"/>
      <c r="W93" s="452"/>
      <c r="X93" s="452"/>
      <c r="Y93" s="452"/>
      <c r="Z93" s="452"/>
      <c r="AA93" s="452"/>
      <c r="AB93" s="452"/>
    </row>
    <row r="94" spans="1:28" s="78" customFormat="1" ht="17.100000000000001" customHeight="1" x14ac:dyDescent="0.3">
      <c r="A94" s="30"/>
      <c r="B94" s="204"/>
      <c r="C94" s="518" t="s">
        <v>302</v>
      </c>
      <c r="D94" s="385">
        <f>4147200*0.001</f>
        <v>4147.2</v>
      </c>
      <c r="E94" s="133">
        <f>(G94*0.1%)</f>
        <v>4147.2</v>
      </c>
      <c r="F94" s="54">
        <f>E94-D94</f>
        <v>0</v>
      </c>
      <c r="G94" s="764">
        <f>SUM(M95:M100)</f>
        <v>4147200</v>
      </c>
      <c r="H94" s="770"/>
      <c r="I94" s="770"/>
      <c r="J94" s="770"/>
      <c r="K94" s="770"/>
      <c r="L94" s="770"/>
      <c r="M94" s="771"/>
      <c r="N94" s="497" t="s">
        <v>277</v>
      </c>
      <c r="O94" s="516" t="s">
        <v>254</v>
      </c>
      <c r="P94" s="516" t="s">
        <v>223</v>
      </c>
      <c r="Q94" s="516" t="s">
        <v>224</v>
      </c>
      <c r="R94" s="516" t="s">
        <v>225</v>
      </c>
      <c r="S94" s="516" t="s">
        <v>226</v>
      </c>
      <c r="T94" s="368"/>
      <c r="U94" s="452"/>
      <c r="V94" s="452"/>
      <c r="W94" s="452"/>
      <c r="X94" s="452"/>
      <c r="Y94" s="452"/>
      <c r="Z94" s="452"/>
      <c r="AA94" s="452"/>
      <c r="AB94" s="452"/>
    </row>
    <row r="95" spans="1:28" s="78" customFormat="1" ht="17.100000000000001" customHeight="1" x14ac:dyDescent="0.3">
      <c r="A95" s="30"/>
      <c r="B95" s="204"/>
      <c r="C95" s="31"/>
      <c r="D95" s="385"/>
      <c r="E95" s="133"/>
      <c r="F95" s="54"/>
      <c r="G95" s="323" t="s">
        <v>102</v>
      </c>
      <c r="H95" s="519">
        <v>121000</v>
      </c>
      <c r="I95" s="325" t="s">
        <v>160</v>
      </c>
      <c r="J95" s="325">
        <v>12</v>
      </c>
      <c r="K95" s="325" t="s">
        <v>156</v>
      </c>
      <c r="L95" s="325" t="s">
        <v>164</v>
      </c>
      <c r="M95" s="432">
        <f t="shared" ref="M95:M100" si="27">H95*J95</f>
        <v>1452000</v>
      </c>
      <c r="N95" s="498" t="s">
        <v>278</v>
      </c>
      <c r="O95" s="516" t="s">
        <v>279</v>
      </c>
      <c r="P95" s="516">
        <v>1452000</v>
      </c>
      <c r="Q95" s="516">
        <v>0</v>
      </c>
      <c r="R95" s="516"/>
      <c r="S95" s="516">
        <f t="shared" ref="S95:S101" si="28">SUM(P95:R95)</f>
        <v>1452000</v>
      </c>
      <c r="T95" s="368"/>
      <c r="U95" s="452"/>
      <c r="V95" s="452"/>
      <c r="W95" s="452"/>
      <c r="X95" s="452"/>
      <c r="Y95" s="452"/>
      <c r="Z95" s="452"/>
      <c r="AA95" s="452"/>
      <c r="AB95" s="452"/>
    </row>
    <row r="96" spans="1:28" s="78" customFormat="1" ht="17.100000000000001" customHeight="1" x14ac:dyDescent="0.3">
      <c r="A96" s="30"/>
      <c r="B96" s="136"/>
      <c r="C96" s="31"/>
      <c r="D96" s="576"/>
      <c r="E96" s="136"/>
      <c r="F96" s="54"/>
      <c r="G96" s="323" t="s">
        <v>104</v>
      </c>
      <c r="H96" s="324">
        <v>70000</v>
      </c>
      <c r="I96" s="325" t="s">
        <v>160</v>
      </c>
      <c r="J96" s="325">
        <v>12</v>
      </c>
      <c r="K96" s="325" t="s">
        <v>156</v>
      </c>
      <c r="L96" s="325" t="s">
        <v>164</v>
      </c>
      <c r="M96" s="432">
        <f t="shared" si="27"/>
        <v>840000</v>
      </c>
      <c r="N96" s="498" t="s">
        <v>277</v>
      </c>
      <c r="O96" s="516" t="s">
        <v>280</v>
      </c>
      <c r="P96" s="516">
        <v>0</v>
      </c>
      <c r="Q96" s="516">
        <v>840000</v>
      </c>
      <c r="R96" s="516"/>
      <c r="S96" s="516">
        <f t="shared" si="28"/>
        <v>840000</v>
      </c>
      <c r="T96" s="368"/>
      <c r="U96" s="452">
        <v>990000</v>
      </c>
      <c r="V96" s="452"/>
      <c r="W96" s="452"/>
      <c r="X96" s="452"/>
      <c r="Y96" s="452"/>
      <c r="Z96" s="452"/>
      <c r="AA96" s="452"/>
      <c r="AB96" s="452"/>
    </row>
    <row r="97" spans="1:28" s="79" customFormat="1" ht="17.100000000000001" customHeight="1" x14ac:dyDescent="0.3">
      <c r="A97" s="633"/>
      <c r="B97" s="634"/>
      <c r="C97" s="108"/>
      <c r="D97" s="455"/>
      <c r="E97" s="204"/>
      <c r="F97" s="84"/>
      <c r="G97" s="323" t="s">
        <v>107</v>
      </c>
      <c r="H97" s="324">
        <v>94600</v>
      </c>
      <c r="I97" s="325" t="s">
        <v>160</v>
      </c>
      <c r="J97" s="325">
        <v>12</v>
      </c>
      <c r="K97" s="325" t="s">
        <v>156</v>
      </c>
      <c r="L97" s="325" t="s">
        <v>164</v>
      </c>
      <c r="M97" s="432">
        <f t="shared" si="27"/>
        <v>1135200</v>
      </c>
      <c r="N97" s="497" t="s">
        <v>281</v>
      </c>
      <c r="O97" s="516" t="s">
        <v>282</v>
      </c>
      <c r="P97" s="516">
        <v>0</v>
      </c>
      <c r="Q97" s="516">
        <v>1135200</v>
      </c>
      <c r="R97" s="516"/>
      <c r="S97" s="516">
        <f t="shared" si="28"/>
        <v>1135200</v>
      </c>
      <c r="T97" s="368">
        <v>94600</v>
      </c>
      <c r="U97" s="452">
        <v>1100000</v>
      </c>
      <c r="V97" s="452">
        <f>SUM(T97:U97)</f>
        <v>1194600</v>
      </c>
      <c r="W97" s="452"/>
      <c r="X97" s="452"/>
      <c r="Y97" s="452"/>
      <c r="Z97" s="452"/>
      <c r="AA97" s="452"/>
      <c r="AB97" s="452"/>
    </row>
    <row r="98" spans="1:28" s="78" customFormat="1" ht="17.100000000000001" customHeight="1" x14ac:dyDescent="0.3">
      <c r="A98" s="30"/>
      <c r="B98" s="204"/>
      <c r="C98" s="31"/>
      <c r="D98" s="385"/>
      <c r="E98" s="133"/>
      <c r="F98" s="54"/>
      <c r="G98" s="323" t="s">
        <v>62</v>
      </c>
      <c r="H98" s="324">
        <v>100000</v>
      </c>
      <c r="I98" s="325" t="s">
        <v>160</v>
      </c>
      <c r="J98" s="325">
        <v>2</v>
      </c>
      <c r="K98" s="325" t="s">
        <v>161</v>
      </c>
      <c r="L98" s="325" t="s">
        <v>164</v>
      </c>
      <c r="M98" s="432">
        <f t="shared" si="27"/>
        <v>200000</v>
      </c>
      <c r="N98" s="497" t="s">
        <v>278</v>
      </c>
      <c r="O98" s="516" t="s">
        <v>283</v>
      </c>
      <c r="P98" s="516">
        <v>0</v>
      </c>
      <c r="Q98" s="516">
        <v>200000</v>
      </c>
      <c r="R98" s="516"/>
      <c r="S98" s="516">
        <f t="shared" si="28"/>
        <v>200000</v>
      </c>
      <c r="T98" s="499" t="s">
        <v>284</v>
      </c>
      <c r="U98" s="471" t="s">
        <v>285</v>
      </c>
      <c r="V98" s="452">
        <f>1194600/12</f>
        <v>99550</v>
      </c>
      <c r="W98" s="452"/>
      <c r="X98" s="452"/>
      <c r="Y98" s="452"/>
      <c r="Z98" s="452"/>
      <c r="AA98" s="452"/>
      <c r="AB98" s="452"/>
    </row>
    <row r="99" spans="1:28" s="78" customFormat="1" ht="17.100000000000001" customHeight="1" x14ac:dyDescent="0.3">
      <c r="A99" s="30"/>
      <c r="B99" s="204"/>
      <c r="C99" s="31"/>
      <c r="D99" s="385"/>
      <c r="E99" s="133"/>
      <c r="F99" s="54"/>
      <c r="G99" s="440" t="s">
        <v>206</v>
      </c>
      <c r="H99" s="324">
        <v>10000</v>
      </c>
      <c r="I99" s="325" t="s">
        <v>160</v>
      </c>
      <c r="J99" s="325">
        <v>12</v>
      </c>
      <c r="K99" s="325" t="s">
        <v>161</v>
      </c>
      <c r="L99" s="325" t="s">
        <v>164</v>
      </c>
      <c r="M99" s="432">
        <f t="shared" si="27"/>
        <v>120000</v>
      </c>
      <c r="N99" s="497" t="s">
        <v>276</v>
      </c>
      <c r="O99" s="516" t="s">
        <v>286</v>
      </c>
      <c r="P99" s="516">
        <v>0</v>
      </c>
      <c r="Q99" s="516">
        <v>120000</v>
      </c>
      <c r="R99" s="516"/>
      <c r="S99" s="516">
        <f t="shared" si="28"/>
        <v>120000</v>
      </c>
      <c r="T99" s="368"/>
      <c r="U99" s="452"/>
      <c r="V99" s="452"/>
      <c r="W99" s="452"/>
      <c r="X99" s="452"/>
      <c r="Y99" s="452"/>
      <c r="Z99" s="452"/>
      <c r="AA99" s="452"/>
      <c r="AB99" s="452"/>
    </row>
    <row r="100" spans="1:28" s="78" customFormat="1" ht="17.100000000000001" customHeight="1" x14ac:dyDescent="0.3">
      <c r="A100" s="30"/>
      <c r="B100" s="204"/>
      <c r="C100" s="31"/>
      <c r="D100" s="385"/>
      <c r="E100" s="133"/>
      <c r="F100" s="54"/>
      <c r="G100" s="440" t="s">
        <v>192</v>
      </c>
      <c r="H100" s="324">
        <v>200000</v>
      </c>
      <c r="I100" s="325" t="s">
        <v>160</v>
      </c>
      <c r="J100" s="325">
        <v>2</v>
      </c>
      <c r="K100" s="325" t="s">
        <v>161</v>
      </c>
      <c r="L100" s="325" t="s">
        <v>164</v>
      </c>
      <c r="M100" s="432">
        <f t="shared" si="27"/>
        <v>400000</v>
      </c>
      <c r="N100" s="368"/>
      <c r="O100" s="516" t="s">
        <v>287</v>
      </c>
      <c r="P100" s="516">
        <f>35040+10000</f>
        <v>45040</v>
      </c>
      <c r="Q100" s="516">
        <f>200000-35040-10000</f>
        <v>154960</v>
      </c>
      <c r="R100" s="516">
        <v>200000</v>
      </c>
      <c r="S100" s="516">
        <f t="shared" si="28"/>
        <v>400000</v>
      </c>
      <c r="T100" s="368"/>
      <c r="U100" s="452"/>
      <c r="V100" s="452"/>
      <c r="W100" s="452"/>
      <c r="X100" s="452"/>
      <c r="Y100" s="452"/>
      <c r="Z100" s="452"/>
      <c r="AA100" s="452"/>
      <c r="AB100" s="452"/>
    </row>
    <row r="101" spans="1:28" s="79" customFormat="1" ht="17.100000000000001" customHeight="1" x14ac:dyDescent="0.3">
      <c r="A101" s="30"/>
      <c r="B101" s="204"/>
      <c r="C101" s="132"/>
      <c r="D101" s="385"/>
      <c r="E101" s="133"/>
      <c r="F101" s="54"/>
      <c r="G101" s="775" t="s">
        <v>388</v>
      </c>
      <c r="H101" s="776"/>
      <c r="I101" s="776"/>
      <c r="J101" s="776"/>
      <c r="K101" s="776"/>
      <c r="L101" s="776"/>
      <c r="M101" s="777"/>
      <c r="N101" s="453"/>
      <c r="O101" s="516" t="s">
        <v>226</v>
      </c>
      <c r="P101" s="516">
        <f>SUM(P95:P100)</f>
        <v>1497040</v>
      </c>
      <c r="Q101" s="516">
        <f>SUM(Q95:Q100)</f>
        <v>2450160</v>
      </c>
      <c r="R101" s="516">
        <f>SUM(R95:R100)</f>
        <v>200000</v>
      </c>
      <c r="S101" s="516">
        <f t="shared" si="28"/>
        <v>4147200</v>
      </c>
      <c r="T101" s="368"/>
      <c r="U101" s="452"/>
      <c r="V101" s="452"/>
      <c r="W101" s="452"/>
      <c r="X101" s="452"/>
      <c r="Y101" s="452"/>
      <c r="Z101" s="452"/>
      <c r="AA101" s="452"/>
      <c r="AB101" s="452"/>
    </row>
    <row r="102" spans="1:28" ht="17.100000000000001" customHeight="1" x14ac:dyDescent="0.3">
      <c r="A102" s="30"/>
      <c r="B102" s="204"/>
      <c r="C102" s="31" t="s">
        <v>28</v>
      </c>
      <c r="D102" s="385">
        <f>5619600*0.001</f>
        <v>5619.6</v>
      </c>
      <c r="E102" s="133">
        <f>(G102*0.1%)</f>
        <v>5619.6</v>
      </c>
      <c r="F102" s="54">
        <f>E102-D102</f>
        <v>0</v>
      </c>
      <c r="G102" s="764">
        <f>SUM(M103:M105)</f>
        <v>5619600</v>
      </c>
      <c r="H102" s="770"/>
      <c r="I102" s="770"/>
      <c r="J102" s="770"/>
      <c r="K102" s="770"/>
      <c r="L102" s="770"/>
      <c r="M102" s="771"/>
      <c r="N102" s="500" t="s">
        <v>276</v>
      </c>
      <c r="O102" s="452"/>
      <c r="P102" s="452"/>
      <c r="Q102" s="452"/>
      <c r="R102" s="452"/>
      <c r="S102" s="452"/>
      <c r="T102" s="452"/>
      <c r="U102" s="452"/>
      <c r="V102" s="452"/>
      <c r="W102" s="452"/>
      <c r="X102" s="452"/>
      <c r="Y102" s="452"/>
      <c r="Z102" s="452"/>
      <c r="AA102" s="452"/>
      <c r="AB102" s="452"/>
    </row>
    <row r="103" spans="1:28" ht="17.100000000000001" customHeight="1" x14ac:dyDescent="0.3">
      <c r="A103" s="30"/>
      <c r="B103" s="204"/>
      <c r="C103" s="31"/>
      <c r="D103" s="385"/>
      <c r="E103" s="133"/>
      <c r="F103" s="54"/>
      <c r="G103" s="323" t="s">
        <v>137</v>
      </c>
      <c r="H103" s="324">
        <v>229000</v>
      </c>
      <c r="I103" s="325" t="s">
        <v>160</v>
      </c>
      <c r="J103" s="325">
        <v>12</v>
      </c>
      <c r="K103" s="325" t="s">
        <v>156</v>
      </c>
      <c r="L103" s="325" t="s">
        <v>164</v>
      </c>
      <c r="M103" s="432">
        <f>ROUNDDOWN(H103*J103,-1)</f>
        <v>2748000</v>
      </c>
      <c r="N103" s="500" t="s">
        <v>277</v>
      </c>
      <c r="O103" s="516" t="s">
        <v>255</v>
      </c>
      <c r="P103" s="516" t="s">
        <v>223</v>
      </c>
      <c r="Q103" s="516" t="s">
        <v>224</v>
      </c>
      <c r="R103" s="516" t="s">
        <v>225</v>
      </c>
      <c r="S103" s="516" t="s">
        <v>226</v>
      </c>
      <c r="T103" s="452"/>
      <c r="U103" s="452"/>
      <c r="V103" s="452"/>
      <c r="W103" s="452"/>
      <c r="X103" s="452"/>
      <c r="Y103" s="452"/>
      <c r="Z103" s="452"/>
      <c r="AA103" s="452"/>
      <c r="AB103" s="452"/>
    </row>
    <row r="104" spans="1:28" ht="17.100000000000001" customHeight="1" x14ac:dyDescent="0.3">
      <c r="A104" s="30"/>
      <c r="B104" s="204"/>
      <c r="C104" s="31"/>
      <c r="D104" s="385"/>
      <c r="E104" s="133"/>
      <c r="F104" s="54"/>
      <c r="G104" s="440" t="s">
        <v>289</v>
      </c>
      <c r="H104" s="324">
        <v>234300</v>
      </c>
      <c r="I104" s="325" t="s">
        <v>160</v>
      </c>
      <c r="J104" s="325">
        <v>12</v>
      </c>
      <c r="K104" s="325" t="s">
        <v>156</v>
      </c>
      <c r="L104" s="325" t="s">
        <v>164</v>
      </c>
      <c r="M104" s="432">
        <f>H104*J104</f>
        <v>2811600</v>
      </c>
      <c r="N104" s="500"/>
      <c r="O104" s="520" t="s">
        <v>288</v>
      </c>
      <c r="P104" s="516">
        <v>1398000</v>
      </c>
      <c r="Q104" s="516">
        <v>1350000</v>
      </c>
      <c r="R104" s="516"/>
      <c r="S104" s="516">
        <f>SUM(P104:R104)</f>
        <v>2748000</v>
      </c>
      <c r="T104" s="452"/>
      <c r="U104" s="484" t="s">
        <v>304</v>
      </c>
      <c r="V104" s="484">
        <v>360000</v>
      </c>
      <c r="W104" s="471" t="s">
        <v>223</v>
      </c>
      <c r="X104" s="452"/>
      <c r="Y104" s="452"/>
      <c r="Z104" s="452"/>
      <c r="AA104" s="452"/>
      <c r="AB104" s="452"/>
    </row>
    <row r="105" spans="1:28" ht="17.100000000000001" customHeight="1" x14ac:dyDescent="0.3">
      <c r="A105" s="30"/>
      <c r="B105" s="204"/>
      <c r="C105" s="31"/>
      <c r="D105" s="385"/>
      <c r="E105" s="133"/>
      <c r="F105" s="54"/>
      <c r="G105" s="323" t="s">
        <v>43</v>
      </c>
      <c r="H105" s="324">
        <v>60000</v>
      </c>
      <c r="I105" s="325" t="s">
        <v>160</v>
      </c>
      <c r="J105" s="325">
        <v>1</v>
      </c>
      <c r="K105" s="325" t="s">
        <v>161</v>
      </c>
      <c r="L105" s="325" t="s">
        <v>164</v>
      </c>
      <c r="M105" s="432">
        <f>H105*J105</f>
        <v>60000</v>
      </c>
      <c r="N105" s="521"/>
      <c r="O105" s="516" t="s">
        <v>289</v>
      </c>
      <c r="P105" s="516">
        <v>2811600</v>
      </c>
      <c r="Q105" s="516">
        <v>0</v>
      </c>
      <c r="R105" s="516"/>
      <c r="S105" s="516">
        <f>SUM(P105:R105)</f>
        <v>2811600</v>
      </c>
      <c r="T105" s="452"/>
      <c r="U105" s="484" t="s">
        <v>305</v>
      </c>
      <c r="V105" s="484">
        <v>588000</v>
      </c>
      <c r="W105" s="471" t="s">
        <v>223</v>
      </c>
      <c r="X105" s="452"/>
      <c r="Y105" s="452"/>
      <c r="Z105" s="452"/>
      <c r="AA105" s="452"/>
      <c r="AB105" s="452"/>
    </row>
    <row r="106" spans="1:28" s="78" customFormat="1" ht="17.100000000000001" customHeight="1" x14ac:dyDescent="0.3">
      <c r="A106" s="30"/>
      <c r="B106" s="204"/>
      <c r="C106" s="132"/>
      <c r="D106" s="385"/>
      <c r="E106" s="133"/>
      <c r="F106" s="54"/>
      <c r="G106" s="775" t="s">
        <v>386</v>
      </c>
      <c r="H106" s="776"/>
      <c r="I106" s="776"/>
      <c r="J106" s="776"/>
      <c r="K106" s="776"/>
      <c r="L106" s="776"/>
      <c r="M106" s="777"/>
      <c r="N106" s="368"/>
      <c r="O106" s="516" t="s">
        <v>290</v>
      </c>
      <c r="P106" s="516"/>
      <c r="Q106" s="516">
        <v>60000</v>
      </c>
      <c r="R106" s="516"/>
      <c r="S106" s="516">
        <f>SUM(P106:R106)</f>
        <v>60000</v>
      </c>
      <c r="T106" s="452"/>
      <c r="U106" s="484" t="s">
        <v>306</v>
      </c>
      <c r="V106" s="484">
        <v>450000</v>
      </c>
      <c r="W106" s="471" t="s">
        <v>223</v>
      </c>
      <c r="X106" s="471"/>
      <c r="Y106" s="452"/>
      <c r="Z106" s="452"/>
      <c r="AA106" s="452"/>
      <c r="AB106" s="452"/>
    </row>
    <row r="107" spans="1:28" s="78" customFormat="1" ht="17.100000000000001" customHeight="1" x14ac:dyDescent="0.3">
      <c r="A107" s="30"/>
      <c r="B107" s="204"/>
      <c r="C107" s="37" t="s">
        <v>41</v>
      </c>
      <c r="D107" s="575">
        <f>910000*0.001</f>
        <v>910</v>
      </c>
      <c r="E107" s="133">
        <f>M107*0.001</f>
        <v>900</v>
      </c>
      <c r="F107" s="54">
        <f>E107-D107</f>
        <v>-10</v>
      </c>
      <c r="G107" s="638"/>
      <c r="H107" s="635"/>
      <c r="I107" s="635"/>
      <c r="J107" s="635"/>
      <c r="K107" s="635"/>
      <c r="L107" s="635"/>
      <c r="M107" s="640">
        <f>M108+M109+M110</f>
        <v>900000</v>
      </c>
      <c r="N107" s="368"/>
      <c r="O107" s="516" t="s">
        <v>226</v>
      </c>
      <c r="P107" s="516">
        <f>SUM(P104:P106)</f>
        <v>4209600</v>
      </c>
      <c r="Q107" s="516">
        <f>SUM(Q104:Q106)</f>
        <v>1410000</v>
      </c>
      <c r="R107" s="516">
        <f>SUM(R104:R106)</f>
        <v>0</v>
      </c>
      <c r="S107" s="516">
        <f>SUM(P107:R107)</f>
        <v>5619600</v>
      </c>
      <c r="T107" s="452"/>
      <c r="U107" s="471" t="s">
        <v>306</v>
      </c>
      <c r="V107" s="452">
        <v>1350000</v>
      </c>
      <c r="W107" s="471" t="s">
        <v>225</v>
      </c>
      <c r="X107" s="452"/>
      <c r="Y107" s="452"/>
      <c r="Z107" s="452"/>
      <c r="AA107" s="452"/>
      <c r="AB107" s="452"/>
    </row>
    <row r="108" spans="1:28" s="78" customFormat="1" ht="17.100000000000001" customHeight="1" x14ac:dyDescent="0.3">
      <c r="A108" s="30"/>
      <c r="B108" s="204"/>
      <c r="C108" s="85"/>
      <c r="D108" s="385"/>
      <c r="E108" s="133"/>
      <c r="F108" s="54"/>
      <c r="G108" s="323" t="s">
        <v>44</v>
      </c>
      <c r="H108" s="324">
        <v>500000</v>
      </c>
      <c r="I108" s="325" t="s">
        <v>160</v>
      </c>
      <c r="J108" s="325">
        <v>1</v>
      </c>
      <c r="K108" s="325" t="s">
        <v>161</v>
      </c>
      <c r="L108" s="325" t="s">
        <v>164</v>
      </c>
      <c r="M108" s="432">
        <f>H108*J108</f>
        <v>500000</v>
      </c>
      <c r="N108" s="368"/>
      <c r="O108" s="452"/>
      <c r="P108" s="452"/>
      <c r="Q108" s="452"/>
      <c r="R108" s="452"/>
      <c r="S108" s="452"/>
      <c r="T108" s="452"/>
      <c r="U108" s="471"/>
      <c r="V108" s="452">
        <f>SUM(V104:V107)</f>
        <v>2748000</v>
      </c>
      <c r="W108" s="452"/>
      <c r="X108" s="452"/>
      <c r="Y108" s="452"/>
      <c r="Z108" s="452"/>
      <c r="AA108" s="452"/>
      <c r="AB108" s="452"/>
    </row>
    <row r="109" spans="1:28" s="78" customFormat="1" ht="17.100000000000001" customHeight="1" x14ac:dyDescent="0.3">
      <c r="A109" s="30"/>
      <c r="B109" s="204"/>
      <c r="C109" s="85"/>
      <c r="D109" s="385"/>
      <c r="E109" s="133"/>
      <c r="F109" s="54"/>
      <c r="G109" s="440" t="s">
        <v>207</v>
      </c>
      <c r="H109" s="324">
        <v>50000</v>
      </c>
      <c r="I109" s="325" t="s">
        <v>160</v>
      </c>
      <c r="J109" s="325">
        <v>1</v>
      </c>
      <c r="K109" s="325" t="s">
        <v>161</v>
      </c>
      <c r="L109" s="325" t="s">
        <v>164</v>
      </c>
      <c r="M109" s="432">
        <f>H109*J109</f>
        <v>50000</v>
      </c>
      <c r="N109" s="368"/>
      <c r="O109" s="516" t="s">
        <v>256</v>
      </c>
      <c r="P109" s="516" t="s">
        <v>223</v>
      </c>
      <c r="Q109" s="516" t="s">
        <v>224</v>
      </c>
      <c r="R109" s="516" t="s">
        <v>225</v>
      </c>
      <c r="S109" s="516" t="s">
        <v>226</v>
      </c>
      <c r="T109" s="452"/>
      <c r="U109" s="452"/>
      <c r="V109" s="452"/>
      <c r="W109" s="452"/>
      <c r="X109" s="452"/>
      <c r="Y109" s="452"/>
      <c r="Z109" s="452"/>
      <c r="AA109" s="452"/>
      <c r="AB109" s="452"/>
    </row>
    <row r="110" spans="1:28" s="78" customFormat="1" ht="17.100000000000001" customHeight="1" x14ac:dyDescent="0.3">
      <c r="A110" s="30"/>
      <c r="B110" s="204"/>
      <c r="C110" s="85"/>
      <c r="D110" s="385"/>
      <c r="E110" s="133"/>
      <c r="F110" s="54"/>
      <c r="G110" s="440" t="s">
        <v>208</v>
      </c>
      <c r="H110" s="324">
        <v>350000</v>
      </c>
      <c r="I110" s="325" t="s">
        <v>160</v>
      </c>
      <c r="J110" s="325">
        <v>1</v>
      </c>
      <c r="K110" s="325" t="s">
        <v>161</v>
      </c>
      <c r="L110" s="325" t="s">
        <v>164</v>
      </c>
      <c r="M110" s="432">
        <f>H110*J110</f>
        <v>350000</v>
      </c>
      <c r="N110" s="368"/>
      <c r="O110" s="516" t="s">
        <v>291</v>
      </c>
      <c r="P110" s="516">
        <v>0</v>
      </c>
      <c r="Q110" s="516">
        <v>500000</v>
      </c>
      <c r="R110" s="516"/>
      <c r="S110" s="516">
        <f>SUM(P110:R110)</f>
        <v>500000</v>
      </c>
      <c r="T110" s="452"/>
      <c r="U110" s="452"/>
      <c r="V110" s="452"/>
      <c r="W110" s="452"/>
      <c r="X110" s="452"/>
      <c r="Y110" s="452"/>
      <c r="Z110" s="452"/>
      <c r="AA110" s="452"/>
      <c r="AB110" s="452"/>
    </row>
    <row r="111" spans="1:28" s="78" customFormat="1" ht="17.100000000000001" customHeight="1" x14ac:dyDescent="0.3">
      <c r="A111" s="30"/>
      <c r="B111" s="204"/>
      <c r="C111" s="46"/>
      <c r="D111" s="385"/>
      <c r="E111" s="133"/>
      <c r="F111" s="54"/>
      <c r="G111" s="769" t="s">
        <v>384</v>
      </c>
      <c r="H111" s="770"/>
      <c r="I111" s="770"/>
      <c r="J111" s="770"/>
      <c r="K111" s="770"/>
      <c r="L111" s="770"/>
      <c r="M111" s="771"/>
      <c r="N111" s="368"/>
      <c r="O111" s="516" t="s">
        <v>303</v>
      </c>
      <c r="P111" s="516">
        <v>0</v>
      </c>
      <c r="Q111" s="516">
        <f>30000+20000</f>
        <v>50000</v>
      </c>
      <c r="R111" s="516"/>
      <c r="S111" s="516">
        <f>SUM(P111:R111)</f>
        <v>50000</v>
      </c>
      <c r="T111" s="452"/>
      <c r="U111" s="452"/>
      <c r="V111" s="452"/>
      <c r="W111" s="452"/>
      <c r="X111" s="452"/>
      <c r="Y111" s="452"/>
      <c r="Z111" s="452"/>
      <c r="AA111" s="452"/>
      <c r="AB111" s="452"/>
    </row>
    <row r="112" spans="1:28" s="78" customFormat="1" ht="17.100000000000001" customHeight="1" x14ac:dyDescent="0.3">
      <c r="A112" s="30"/>
      <c r="B112" s="204"/>
      <c r="C112" s="38" t="s">
        <v>168</v>
      </c>
      <c r="D112" s="385">
        <f>1600000*0.001</f>
        <v>1600</v>
      </c>
      <c r="E112" s="133">
        <f>(G112*0.1%)</f>
        <v>1550</v>
      </c>
      <c r="F112" s="54">
        <f>E112-D112</f>
        <v>-50</v>
      </c>
      <c r="G112" s="764">
        <f>SUM(M113:M114)</f>
        <v>1550000</v>
      </c>
      <c r="H112" s="770"/>
      <c r="I112" s="770"/>
      <c r="J112" s="770"/>
      <c r="K112" s="770"/>
      <c r="L112" s="770"/>
      <c r="M112" s="771"/>
      <c r="N112" s="498" t="s">
        <v>292</v>
      </c>
      <c r="O112" s="516" t="s">
        <v>307</v>
      </c>
      <c r="P112" s="517">
        <v>0</v>
      </c>
      <c r="Q112" s="517">
        <f>180000+100000+70000</f>
        <v>350000</v>
      </c>
      <c r="R112" s="516"/>
      <c r="S112" s="516">
        <f>SUM(P112:R112)</f>
        <v>350000</v>
      </c>
      <c r="T112" s="452"/>
      <c r="U112" s="452"/>
      <c r="V112" s="452"/>
      <c r="W112" s="452"/>
      <c r="X112" s="452"/>
      <c r="Y112" s="452"/>
      <c r="Z112" s="452"/>
      <c r="AA112" s="452"/>
      <c r="AB112" s="452"/>
    </row>
    <row r="113" spans="1:28" s="78" customFormat="1" ht="17.100000000000001" customHeight="1" x14ac:dyDescent="0.3">
      <c r="A113" s="30"/>
      <c r="B113" s="204"/>
      <c r="C113" s="85"/>
      <c r="D113" s="576"/>
      <c r="E113" s="136"/>
      <c r="F113" s="54"/>
      <c r="G113" s="323" t="s">
        <v>21</v>
      </c>
      <c r="H113" s="324">
        <v>50000</v>
      </c>
      <c r="I113" s="325" t="s">
        <v>160</v>
      </c>
      <c r="J113" s="325">
        <v>11</v>
      </c>
      <c r="K113" s="325" t="s">
        <v>161</v>
      </c>
      <c r="L113" s="325" t="s">
        <v>164</v>
      </c>
      <c r="M113" s="432">
        <f>H113*J113</f>
        <v>550000</v>
      </c>
      <c r="N113" s="368"/>
      <c r="O113" s="516" t="s">
        <v>226</v>
      </c>
      <c r="P113" s="516">
        <f>SUM(P110:P112)</f>
        <v>0</v>
      </c>
      <c r="Q113" s="516">
        <f>SUM(Q110:Q112)</f>
        <v>900000</v>
      </c>
      <c r="R113" s="516">
        <f>SUM(R110:R112)</f>
        <v>0</v>
      </c>
      <c r="S113" s="516">
        <f>SUM(P113:R113)</f>
        <v>900000</v>
      </c>
      <c r="T113" s="452"/>
      <c r="U113" s="452"/>
      <c r="V113" s="452"/>
      <c r="W113" s="452"/>
      <c r="X113" s="452"/>
      <c r="Y113" s="452"/>
      <c r="Z113" s="452"/>
      <c r="AA113" s="452"/>
      <c r="AB113" s="452"/>
    </row>
    <row r="114" spans="1:28" s="78" customFormat="1" ht="17.100000000000001" customHeight="1" x14ac:dyDescent="0.3">
      <c r="A114" s="30"/>
      <c r="B114" s="204"/>
      <c r="C114" s="85"/>
      <c r="D114" s="576"/>
      <c r="E114" s="136"/>
      <c r="F114" s="54"/>
      <c r="G114" s="323" t="s">
        <v>101</v>
      </c>
      <c r="H114" s="324">
        <v>1000000</v>
      </c>
      <c r="I114" s="325" t="s">
        <v>160</v>
      </c>
      <c r="J114" s="325">
        <v>1</v>
      </c>
      <c r="K114" s="325" t="s">
        <v>158</v>
      </c>
      <c r="L114" s="325" t="s">
        <v>164</v>
      </c>
      <c r="M114" s="432">
        <f>H114*J114</f>
        <v>1000000</v>
      </c>
      <c r="N114" s="368"/>
      <c r="O114" s="452"/>
      <c r="P114" s="452"/>
      <c r="Q114" s="452"/>
      <c r="R114" s="452"/>
      <c r="S114" s="452"/>
      <c r="T114" s="452"/>
      <c r="U114" s="452"/>
      <c r="V114" s="452"/>
      <c r="W114" s="452"/>
      <c r="X114" s="452"/>
      <c r="Y114" s="452"/>
      <c r="Z114" s="452"/>
      <c r="AA114" s="452"/>
      <c r="AB114" s="452"/>
    </row>
    <row r="115" spans="1:28" s="78" customFormat="1" ht="17.100000000000001" customHeight="1" x14ac:dyDescent="0.3">
      <c r="A115" s="30"/>
      <c r="B115" s="204"/>
      <c r="C115" s="46"/>
      <c r="D115" s="385"/>
      <c r="E115" s="133"/>
      <c r="F115" s="54"/>
      <c r="G115" s="769" t="s">
        <v>385</v>
      </c>
      <c r="H115" s="770"/>
      <c r="I115" s="770"/>
      <c r="J115" s="770"/>
      <c r="K115" s="770"/>
      <c r="L115" s="770"/>
      <c r="M115" s="771"/>
      <c r="N115" s="461"/>
      <c r="O115" s="516" t="s">
        <v>257</v>
      </c>
      <c r="P115" s="516" t="s">
        <v>223</v>
      </c>
      <c r="Q115" s="516" t="s">
        <v>224</v>
      </c>
      <c r="R115" s="516" t="s">
        <v>225</v>
      </c>
      <c r="S115" s="516" t="s">
        <v>226</v>
      </c>
      <c r="T115" s="452"/>
      <c r="U115" s="469"/>
      <c r="V115" s="469"/>
      <c r="W115" s="469"/>
      <c r="X115" s="469"/>
      <c r="Y115" s="469"/>
      <c r="Z115" s="469"/>
      <c r="AA115" s="469"/>
      <c r="AB115" s="452"/>
    </row>
    <row r="116" spans="1:28" s="211" customFormat="1" ht="17.100000000000001" customHeight="1" x14ac:dyDescent="0.3">
      <c r="A116" s="40" t="s">
        <v>183</v>
      </c>
      <c r="B116" s="123" t="s">
        <v>199</v>
      </c>
      <c r="C116" s="41"/>
      <c r="D116" s="574">
        <f>D117+D120</f>
        <v>2000</v>
      </c>
      <c r="E116" s="138">
        <f>E117+E120</f>
        <v>2000</v>
      </c>
      <c r="F116" s="55">
        <f>E116-D116</f>
        <v>0</v>
      </c>
      <c r="G116" s="778" t="s">
        <v>327</v>
      </c>
      <c r="H116" s="778"/>
      <c r="I116" s="778"/>
      <c r="J116" s="778"/>
      <c r="K116" s="778"/>
      <c r="L116" s="778"/>
      <c r="M116" s="639">
        <f>G117+G120</f>
        <v>2000000</v>
      </c>
      <c r="N116" s="368"/>
      <c r="O116" s="516" t="s">
        <v>293</v>
      </c>
      <c r="P116" s="516">
        <f>200000+40000</f>
        <v>240000</v>
      </c>
      <c r="Q116" s="516">
        <f>600000-290000</f>
        <v>310000</v>
      </c>
      <c r="R116" s="516"/>
      <c r="S116" s="516">
        <f>SUM(P116:R116)</f>
        <v>550000</v>
      </c>
      <c r="T116" s="469"/>
      <c r="U116" s="452"/>
      <c r="V116" s="452"/>
      <c r="W116" s="452"/>
      <c r="X116" s="452"/>
      <c r="Y116" s="452"/>
      <c r="Z116" s="452"/>
      <c r="AA116" s="452"/>
      <c r="AB116" s="469"/>
    </row>
    <row r="117" spans="1:28" s="78" customFormat="1" ht="17.100000000000001" customHeight="1" x14ac:dyDescent="0.3">
      <c r="A117" s="30"/>
      <c r="B117" s="204"/>
      <c r="C117" s="37" t="s">
        <v>48</v>
      </c>
      <c r="D117" s="385">
        <f>1000000*0.001</f>
        <v>1000</v>
      </c>
      <c r="E117" s="133">
        <f>(G117*0.1%)</f>
        <v>1000</v>
      </c>
      <c r="F117" s="54">
        <f>E117-D117</f>
        <v>0</v>
      </c>
      <c r="G117" s="780">
        <f>SUM(M118:M118)</f>
        <v>1000000</v>
      </c>
      <c r="H117" s="780"/>
      <c r="I117" s="780"/>
      <c r="J117" s="780"/>
      <c r="K117" s="780"/>
      <c r="L117" s="780"/>
      <c r="M117" s="786"/>
      <c r="N117" s="368"/>
      <c r="O117" s="516" t="s">
        <v>294</v>
      </c>
      <c r="P117" s="516"/>
      <c r="Q117" s="516">
        <v>1000000</v>
      </c>
      <c r="R117" s="516"/>
      <c r="S117" s="516">
        <f>SUM(P117:R117)</f>
        <v>1000000</v>
      </c>
      <c r="T117" s="452"/>
      <c r="U117" s="452"/>
      <c r="V117" s="452"/>
      <c r="W117" s="452"/>
      <c r="X117" s="452"/>
      <c r="Y117" s="452"/>
      <c r="Z117" s="452"/>
      <c r="AA117" s="452"/>
      <c r="AB117" s="452"/>
    </row>
    <row r="118" spans="1:28" s="78" customFormat="1" ht="17.100000000000001" customHeight="1" x14ac:dyDescent="0.3">
      <c r="A118" s="30"/>
      <c r="B118" s="204"/>
      <c r="C118" s="37"/>
      <c r="D118" s="385"/>
      <c r="E118" s="133"/>
      <c r="F118" s="54"/>
      <c r="G118" s="141" t="s">
        <v>48</v>
      </c>
      <c r="H118" s="154">
        <v>500000</v>
      </c>
      <c r="I118" s="150" t="s">
        <v>160</v>
      </c>
      <c r="J118" s="150">
        <v>2</v>
      </c>
      <c r="K118" s="150" t="s">
        <v>161</v>
      </c>
      <c r="L118" s="150" t="s">
        <v>164</v>
      </c>
      <c r="M118" s="431">
        <f>H118*J118</f>
        <v>1000000</v>
      </c>
      <c r="N118" s="453"/>
      <c r="O118" s="516" t="s">
        <v>226</v>
      </c>
      <c r="P118" s="516">
        <f>SUM(P116:P117)</f>
        <v>240000</v>
      </c>
      <c r="Q118" s="516">
        <f>SUM(Q116:Q117)</f>
        <v>1310000</v>
      </c>
      <c r="R118" s="516">
        <f>SUM(R116:R117)</f>
        <v>0</v>
      </c>
      <c r="S118" s="516">
        <f>SUM(P118:R118)</f>
        <v>1550000</v>
      </c>
      <c r="T118" s="452"/>
      <c r="U118" s="452"/>
      <c r="V118" s="452"/>
      <c r="W118" s="452"/>
      <c r="X118" s="452"/>
      <c r="Y118" s="452"/>
      <c r="Z118" s="452"/>
      <c r="AA118" s="452"/>
      <c r="AB118" s="452"/>
    </row>
    <row r="119" spans="1:28" ht="17.100000000000001" customHeight="1" x14ac:dyDescent="0.3">
      <c r="A119" s="30"/>
      <c r="B119" s="204"/>
      <c r="C119" s="46"/>
      <c r="D119" s="385"/>
      <c r="E119" s="133"/>
      <c r="F119" s="54"/>
      <c r="G119" s="772" t="s">
        <v>319</v>
      </c>
      <c r="H119" s="773"/>
      <c r="I119" s="773"/>
      <c r="J119" s="773"/>
      <c r="K119" s="773"/>
      <c r="L119" s="773"/>
      <c r="M119" s="774"/>
      <c r="N119" s="453"/>
      <c r="O119" s="452"/>
      <c r="P119" s="452"/>
      <c r="Q119" s="452"/>
      <c r="R119" s="452"/>
      <c r="S119" s="452"/>
      <c r="T119" s="452"/>
      <c r="U119" s="452"/>
      <c r="V119" s="452"/>
      <c r="W119" s="452"/>
      <c r="X119" s="452"/>
      <c r="Y119" s="452"/>
      <c r="Z119" s="452"/>
      <c r="AA119" s="452"/>
      <c r="AB119" s="452"/>
    </row>
    <row r="120" spans="1:28" ht="17.100000000000001" customHeight="1" x14ac:dyDescent="0.3">
      <c r="A120" s="350"/>
      <c r="B120" s="351"/>
      <c r="C120" s="352" t="s">
        <v>49</v>
      </c>
      <c r="D120" s="388">
        <f>1000000*0.001</f>
        <v>1000</v>
      </c>
      <c r="E120" s="353">
        <f>(G120*0.1%)</f>
        <v>1000</v>
      </c>
      <c r="F120" s="354">
        <f>E120-D120</f>
        <v>0</v>
      </c>
      <c r="G120" s="783">
        <f>SUM(M121:M121)</f>
        <v>1000000</v>
      </c>
      <c r="H120" s="784"/>
      <c r="I120" s="784"/>
      <c r="J120" s="784"/>
      <c r="K120" s="784"/>
      <c r="L120" s="784"/>
      <c r="M120" s="785"/>
      <c r="N120" s="497"/>
      <c r="O120" s="516" t="s">
        <v>183</v>
      </c>
      <c r="P120" s="516" t="s">
        <v>223</v>
      </c>
      <c r="Q120" s="516" t="s">
        <v>224</v>
      </c>
      <c r="R120" s="516" t="s">
        <v>225</v>
      </c>
      <c r="S120" s="516" t="s">
        <v>226</v>
      </c>
      <c r="T120" s="452"/>
      <c r="U120" s="452"/>
      <c r="V120" s="452"/>
      <c r="W120" s="452"/>
      <c r="X120" s="452"/>
      <c r="Y120" s="452"/>
      <c r="Z120" s="452"/>
      <c r="AA120" s="368"/>
      <c r="AB120" s="452"/>
    </row>
    <row r="121" spans="1:28" ht="17.100000000000001" customHeight="1" x14ac:dyDescent="0.3">
      <c r="A121" s="30"/>
      <c r="B121" s="204"/>
      <c r="C121" s="37"/>
      <c r="D121" s="385"/>
      <c r="E121" s="133"/>
      <c r="F121" s="54"/>
      <c r="G121" s="261" t="s">
        <v>328</v>
      </c>
      <c r="H121" s="154">
        <v>1000000</v>
      </c>
      <c r="I121" s="150" t="s">
        <v>160</v>
      </c>
      <c r="J121" s="150">
        <v>1</v>
      </c>
      <c r="K121" s="150" t="s">
        <v>161</v>
      </c>
      <c r="L121" s="150" t="s">
        <v>164</v>
      </c>
      <c r="M121" s="431">
        <f>H121*J121</f>
        <v>1000000</v>
      </c>
      <c r="N121" s="368"/>
      <c r="O121" s="516" t="s">
        <v>258</v>
      </c>
      <c r="P121" s="516"/>
      <c r="Q121" s="516">
        <v>1000000</v>
      </c>
      <c r="R121" s="516"/>
      <c r="S121" s="516">
        <f>SUM(P121:R121)</f>
        <v>1000000</v>
      </c>
      <c r="T121" s="452"/>
      <c r="U121" s="452"/>
      <c r="V121" s="452"/>
      <c r="W121" s="452"/>
      <c r="X121" s="452"/>
      <c r="Y121" s="452"/>
      <c r="Z121" s="452"/>
      <c r="AA121" s="368"/>
      <c r="AB121" s="368"/>
    </row>
    <row r="122" spans="1:28" ht="17.100000000000001" customHeight="1" thickBot="1" x14ac:dyDescent="0.35">
      <c r="A122" s="35"/>
      <c r="B122" s="36"/>
      <c r="C122" s="355"/>
      <c r="D122" s="611"/>
      <c r="E122" s="137"/>
      <c r="F122" s="56"/>
      <c r="G122" s="761" t="s">
        <v>326</v>
      </c>
      <c r="H122" s="762"/>
      <c r="I122" s="762"/>
      <c r="J122" s="762"/>
      <c r="K122" s="762"/>
      <c r="L122" s="762"/>
      <c r="M122" s="763"/>
      <c r="N122" s="368"/>
      <c r="O122" s="516" t="s">
        <v>259</v>
      </c>
      <c r="P122" s="516"/>
      <c r="Q122" s="516"/>
      <c r="R122" s="516">
        <v>1000000</v>
      </c>
      <c r="S122" s="516">
        <f>SUM(P122:R122)</f>
        <v>1000000</v>
      </c>
      <c r="T122" s="452"/>
      <c r="U122" s="452"/>
      <c r="V122" s="452"/>
      <c r="W122" s="452"/>
      <c r="X122" s="452"/>
      <c r="Y122" s="452"/>
      <c r="Z122" s="452"/>
      <c r="AA122" s="452"/>
      <c r="AB122" s="368"/>
    </row>
    <row r="123" spans="1:28" s="78" customFormat="1" ht="18.95" customHeight="1" x14ac:dyDescent="0.3">
      <c r="A123" s="237" t="s">
        <v>98</v>
      </c>
      <c r="B123" s="231"/>
      <c r="C123" s="232"/>
      <c r="D123" s="233"/>
      <c r="E123" s="233"/>
      <c r="F123" s="234"/>
      <c r="G123" s="235"/>
      <c r="H123" s="79"/>
      <c r="I123" s="79"/>
      <c r="J123" s="79"/>
      <c r="K123" s="79"/>
      <c r="L123" s="79"/>
      <c r="M123" s="236"/>
      <c r="N123" s="368"/>
      <c r="O123" s="516" t="s">
        <v>226</v>
      </c>
      <c r="P123" s="516">
        <f>SUM(P121:P122)</f>
        <v>0</v>
      </c>
      <c r="Q123" s="516">
        <f>SUM(Q121:Q122)</f>
        <v>1000000</v>
      </c>
      <c r="R123" s="516">
        <f>SUM(R121:R122)</f>
        <v>1000000</v>
      </c>
      <c r="S123" s="516">
        <f>SUM(P123:R123)</f>
        <v>2000000</v>
      </c>
      <c r="T123" s="452"/>
      <c r="U123" s="368"/>
      <c r="V123" s="368"/>
      <c r="W123" s="368"/>
      <c r="X123" s="368"/>
      <c r="Y123" s="368"/>
      <c r="Z123" s="368"/>
      <c r="AA123" s="452"/>
      <c r="AB123" s="452"/>
    </row>
    <row r="124" spans="1:28" s="78" customFormat="1" ht="18.95" customHeight="1" thickBot="1" x14ac:dyDescent="0.35">
      <c r="A124" s="155"/>
      <c r="B124" s="134"/>
      <c r="C124" s="134"/>
      <c r="D124" s="134"/>
      <c r="E124" s="236"/>
      <c r="F124" s="127"/>
      <c r="G124" s="134"/>
      <c r="H124" s="134"/>
      <c r="I124" s="134"/>
      <c r="J124" s="134"/>
      <c r="K124" s="134"/>
      <c r="L124" s="134"/>
      <c r="M124" s="159" t="s">
        <v>26</v>
      </c>
      <c r="N124" s="453"/>
      <c r="O124" s="368"/>
      <c r="P124" s="368"/>
      <c r="Q124" s="368"/>
      <c r="R124" s="368"/>
      <c r="S124" s="368"/>
      <c r="T124" s="368"/>
      <c r="U124" s="368"/>
      <c r="V124" s="368"/>
      <c r="W124" s="368"/>
      <c r="X124" s="368"/>
      <c r="Y124" s="368"/>
      <c r="Z124" s="368"/>
      <c r="AA124" s="452"/>
      <c r="AB124" s="452"/>
    </row>
    <row r="125" spans="1:28" s="78" customFormat="1" ht="18.95" customHeight="1" x14ac:dyDescent="0.3">
      <c r="A125" s="818" t="s">
        <v>201</v>
      </c>
      <c r="B125" s="817"/>
      <c r="C125" s="817" t="s">
        <v>163</v>
      </c>
      <c r="D125" s="751" t="s">
        <v>357</v>
      </c>
      <c r="E125" s="751" t="s">
        <v>361</v>
      </c>
      <c r="F125" s="753" t="s">
        <v>20</v>
      </c>
      <c r="G125" s="758" t="s">
        <v>2</v>
      </c>
      <c r="H125" s="758"/>
      <c r="I125" s="758"/>
      <c r="J125" s="758"/>
      <c r="K125" s="758"/>
      <c r="L125" s="758"/>
      <c r="M125" s="759"/>
      <c r="N125" s="500" t="s">
        <v>184</v>
      </c>
      <c r="O125" s="621" t="s">
        <v>223</v>
      </c>
      <c r="P125" s="622" t="s">
        <v>224</v>
      </c>
      <c r="Q125" s="622" t="s">
        <v>225</v>
      </c>
      <c r="R125" s="622" t="s">
        <v>348</v>
      </c>
      <c r="S125" s="623" t="s">
        <v>310</v>
      </c>
      <c r="T125" s="623" t="s">
        <v>226</v>
      </c>
      <c r="U125" s="368"/>
      <c r="V125" s="368"/>
      <c r="W125" s="368"/>
      <c r="X125" s="368"/>
      <c r="Y125" s="368"/>
      <c r="Z125" s="368"/>
      <c r="AA125" s="368"/>
      <c r="AB125" s="452"/>
    </row>
    <row r="126" spans="1:28" s="78" customFormat="1" ht="18.95" customHeight="1" x14ac:dyDescent="0.3">
      <c r="A126" s="21" t="s">
        <v>155</v>
      </c>
      <c r="B126" s="207" t="s">
        <v>150</v>
      </c>
      <c r="C126" s="22" t="s">
        <v>163</v>
      </c>
      <c r="D126" s="752"/>
      <c r="E126" s="752"/>
      <c r="F126" s="754"/>
      <c r="G126" s="752"/>
      <c r="H126" s="752"/>
      <c r="I126" s="752"/>
      <c r="J126" s="752"/>
      <c r="K126" s="752"/>
      <c r="L126" s="752"/>
      <c r="M126" s="760"/>
      <c r="N126" s="461"/>
      <c r="O126" s="624">
        <f t="shared" ref="O126:T126" si="29">P59</f>
        <v>2950000</v>
      </c>
      <c r="P126" s="624">
        <f t="shared" si="29"/>
        <v>22370000</v>
      </c>
      <c r="Q126" s="624">
        <f t="shared" si="29"/>
        <v>1000000</v>
      </c>
      <c r="R126" s="624">
        <f t="shared" si="29"/>
        <v>4485640</v>
      </c>
      <c r="S126" s="624">
        <f t="shared" si="29"/>
        <v>15000000</v>
      </c>
      <c r="T126" s="624">
        <f t="shared" si="29"/>
        <v>45805640</v>
      </c>
      <c r="U126" s="461"/>
      <c r="V126" s="461"/>
      <c r="W126" s="461"/>
      <c r="X126" s="461"/>
      <c r="Y126" s="461"/>
      <c r="Z126" s="461"/>
      <c r="AA126" s="461"/>
      <c r="AB126" s="368"/>
    </row>
    <row r="127" spans="1:28" s="212" customFormat="1" ht="18" customHeight="1" x14ac:dyDescent="0.3">
      <c r="A127" s="40" t="s">
        <v>202</v>
      </c>
      <c r="B127" s="123" t="s">
        <v>184</v>
      </c>
      <c r="C127" s="210"/>
      <c r="D127" s="574">
        <f>D128+D135+D146+D154+D164+D168+D172+D179+D186+D194+D191+D202</f>
        <v>45910.35</v>
      </c>
      <c r="E127" s="138">
        <f>E128+E135+E146+E154+E164+E168+E172+E179+E186+E194+E191+E202</f>
        <v>45805.64</v>
      </c>
      <c r="F127" s="55">
        <f>E127-D127</f>
        <v>-104.70999999999913</v>
      </c>
      <c r="G127" s="779" t="s">
        <v>398</v>
      </c>
      <c r="H127" s="779"/>
      <c r="I127" s="779"/>
      <c r="J127" s="779"/>
      <c r="K127" s="779"/>
      <c r="L127" s="779"/>
      <c r="M127" s="427">
        <f>G128+G135+G146+G154+G164+G168+G172+G179+G186+M191+M194+G202</f>
        <v>45805640</v>
      </c>
      <c r="N127" s="453"/>
      <c r="O127" s="368"/>
      <c r="P127" s="368"/>
      <c r="Q127" s="368"/>
      <c r="R127" s="368"/>
      <c r="S127" s="368"/>
      <c r="T127" s="368"/>
      <c r="U127" s="368"/>
      <c r="V127" s="368"/>
      <c r="W127" s="368"/>
      <c r="X127" s="368"/>
      <c r="Y127" s="368"/>
      <c r="Z127" s="368"/>
      <c r="AA127" s="368"/>
      <c r="AB127" s="461"/>
    </row>
    <row r="128" spans="1:28" ht="18" customHeight="1" x14ac:dyDescent="0.3">
      <c r="A128" s="39"/>
      <c r="B128" s="150"/>
      <c r="C128" s="124" t="s">
        <v>103</v>
      </c>
      <c r="D128" s="385">
        <f>150000*0.001</f>
        <v>150</v>
      </c>
      <c r="E128" s="133">
        <f>(G128*0.1%)</f>
        <v>150</v>
      </c>
      <c r="F128" s="73">
        <f>E128-D128</f>
        <v>0</v>
      </c>
      <c r="G128" s="780">
        <f>M129</f>
        <v>150000</v>
      </c>
      <c r="H128" s="780"/>
      <c r="I128" s="780"/>
      <c r="J128" s="780"/>
      <c r="K128" s="780"/>
      <c r="L128" s="780"/>
      <c r="M128" s="786"/>
      <c r="N128" s="453"/>
      <c r="O128" s="368"/>
      <c r="P128" s="368"/>
      <c r="Q128" s="368"/>
      <c r="R128" s="368"/>
      <c r="S128" s="368"/>
      <c r="T128" s="368"/>
      <c r="U128" s="368"/>
      <c r="V128" s="368"/>
      <c r="W128" s="368"/>
      <c r="X128" s="368"/>
      <c r="Y128" s="368"/>
      <c r="Z128" s="368"/>
      <c r="AA128" s="368"/>
      <c r="AB128" s="368"/>
    </row>
    <row r="129" spans="1:28" ht="18" customHeight="1" x14ac:dyDescent="0.3">
      <c r="A129" s="30"/>
      <c r="B129" s="204"/>
      <c r="C129" s="37"/>
      <c r="D129" s="385"/>
      <c r="E129" s="133"/>
      <c r="F129" s="54"/>
      <c r="G129" s="142" t="s">
        <v>106</v>
      </c>
      <c r="H129" s="881"/>
      <c r="I129" s="881"/>
      <c r="J129" s="881"/>
      <c r="K129" s="881"/>
      <c r="L129" s="881"/>
      <c r="M129" s="422">
        <f>SUM(M130:M133)</f>
        <v>150000</v>
      </c>
      <c r="N129" s="453"/>
      <c r="O129" s="368"/>
      <c r="P129" s="368"/>
      <c r="Q129" s="368"/>
      <c r="R129" s="368"/>
      <c r="S129" s="368"/>
      <c r="T129" s="368"/>
      <c r="U129" s="368"/>
      <c r="V129" s="368"/>
      <c r="W129" s="368"/>
      <c r="X129" s="368"/>
      <c r="Y129" s="368"/>
      <c r="Z129" s="368"/>
      <c r="AA129" s="368"/>
      <c r="AB129" s="368"/>
    </row>
    <row r="130" spans="1:28" ht="18" customHeight="1" x14ac:dyDescent="0.3">
      <c r="A130" s="30"/>
      <c r="B130" s="204"/>
      <c r="C130" s="37"/>
      <c r="D130" s="385"/>
      <c r="E130" s="133"/>
      <c r="F130" s="54"/>
      <c r="G130" s="141" t="s">
        <v>128</v>
      </c>
      <c r="H130" s="406">
        <v>50000</v>
      </c>
      <c r="I130" s="150" t="s">
        <v>160</v>
      </c>
      <c r="J130" s="154">
        <v>1</v>
      </c>
      <c r="K130" s="150" t="s">
        <v>161</v>
      </c>
      <c r="L130" s="150" t="s">
        <v>164</v>
      </c>
      <c r="M130" s="422">
        <f>H130*J130</f>
        <v>50000</v>
      </c>
      <c r="N130" s="453"/>
      <c r="O130" s="368"/>
      <c r="P130" s="368"/>
      <c r="Q130" s="368"/>
      <c r="R130" s="368"/>
      <c r="S130" s="368"/>
      <c r="T130" s="368"/>
      <c r="U130" s="368"/>
      <c r="V130" s="368"/>
      <c r="W130" s="368"/>
      <c r="X130" s="368"/>
      <c r="Y130" s="368"/>
      <c r="Z130" s="368"/>
      <c r="AA130" s="368"/>
      <c r="AB130" s="368"/>
    </row>
    <row r="131" spans="1:28" ht="18" customHeight="1" x14ac:dyDescent="0.3">
      <c r="A131" s="30"/>
      <c r="B131" s="204"/>
      <c r="C131" s="37"/>
      <c r="D131" s="385"/>
      <c r="E131" s="133"/>
      <c r="F131" s="54"/>
      <c r="G131" s="141" t="s">
        <v>100</v>
      </c>
      <c r="H131" s="154">
        <v>50000</v>
      </c>
      <c r="I131" s="150" t="s">
        <v>160</v>
      </c>
      <c r="J131" s="154">
        <v>1</v>
      </c>
      <c r="K131" s="150" t="s">
        <v>161</v>
      </c>
      <c r="L131" s="150" t="s">
        <v>164</v>
      </c>
      <c r="M131" s="422">
        <f>H131*J131</f>
        <v>50000</v>
      </c>
      <c r="N131" s="453"/>
      <c r="O131" s="368"/>
      <c r="P131" s="368"/>
      <c r="Q131" s="368"/>
      <c r="R131" s="368"/>
      <c r="S131" s="368"/>
      <c r="T131" s="368"/>
      <c r="U131" s="368"/>
      <c r="V131" s="368"/>
      <c r="W131" s="368"/>
      <c r="X131" s="368"/>
      <c r="Y131" s="368"/>
      <c r="Z131" s="368"/>
      <c r="AA131" s="368"/>
      <c r="AB131" s="368"/>
    </row>
    <row r="132" spans="1:28" ht="18" customHeight="1" x14ac:dyDescent="0.3">
      <c r="A132" s="30"/>
      <c r="B132" s="204"/>
      <c r="C132" s="37"/>
      <c r="D132" s="385"/>
      <c r="E132" s="133"/>
      <c r="F132" s="54"/>
      <c r="G132" s="262" t="s">
        <v>209</v>
      </c>
      <c r="H132" s="406">
        <v>30000</v>
      </c>
      <c r="I132" s="150"/>
      <c r="J132" s="154">
        <v>1</v>
      </c>
      <c r="K132" s="150" t="s">
        <v>161</v>
      </c>
      <c r="L132" s="150" t="s">
        <v>164</v>
      </c>
      <c r="M132" s="422">
        <f>H132*J132</f>
        <v>30000</v>
      </c>
      <c r="N132" s="453"/>
      <c r="O132" s="368"/>
      <c r="P132" s="368"/>
      <c r="Q132" s="368"/>
      <c r="R132" s="368"/>
      <c r="S132" s="368"/>
      <c r="T132" s="368"/>
      <c r="U132" s="368"/>
      <c r="V132" s="368"/>
      <c r="W132" s="368"/>
      <c r="X132" s="368"/>
      <c r="Y132" s="368"/>
      <c r="Z132" s="368"/>
      <c r="AA132" s="368"/>
      <c r="AB132" s="368"/>
    </row>
    <row r="133" spans="1:28" ht="18" customHeight="1" x14ac:dyDescent="0.3">
      <c r="A133" s="30"/>
      <c r="B133" s="204"/>
      <c r="C133" s="37"/>
      <c r="D133" s="385"/>
      <c r="E133" s="133"/>
      <c r="F133" s="54"/>
      <c r="G133" s="262" t="s">
        <v>210</v>
      </c>
      <c r="H133" s="406">
        <v>20000</v>
      </c>
      <c r="I133" s="150" t="s">
        <v>160</v>
      </c>
      <c r="J133" s="154">
        <v>1</v>
      </c>
      <c r="K133" s="150" t="s">
        <v>161</v>
      </c>
      <c r="L133" s="150" t="s">
        <v>164</v>
      </c>
      <c r="M133" s="422">
        <f>H133*J133</f>
        <v>20000</v>
      </c>
      <c r="N133" s="453"/>
      <c r="O133" s="368"/>
      <c r="P133" s="368"/>
      <c r="Q133" s="368"/>
      <c r="R133" s="368"/>
      <c r="S133" s="368"/>
      <c r="T133" s="368"/>
      <c r="U133" s="368"/>
      <c r="V133" s="368"/>
      <c r="W133" s="368"/>
      <c r="X133" s="368"/>
      <c r="Y133" s="368"/>
      <c r="Z133" s="368"/>
      <c r="AA133" s="368"/>
      <c r="AB133" s="368"/>
    </row>
    <row r="134" spans="1:28" ht="18" customHeight="1" x14ac:dyDescent="0.3">
      <c r="A134" s="30"/>
      <c r="B134" s="204"/>
      <c r="C134" s="37"/>
      <c r="D134" s="385"/>
      <c r="E134" s="133"/>
      <c r="F134" s="54"/>
      <c r="G134" s="790" t="s">
        <v>316</v>
      </c>
      <c r="H134" s="773"/>
      <c r="I134" s="773"/>
      <c r="J134" s="773"/>
      <c r="K134" s="773"/>
      <c r="L134" s="773"/>
      <c r="M134" s="774"/>
      <c r="N134" s="453"/>
      <c r="O134" s="368"/>
      <c r="P134" s="368"/>
      <c r="Q134" s="368"/>
      <c r="R134" s="368"/>
      <c r="S134" s="368"/>
      <c r="T134" s="368"/>
      <c r="U134" s="368"/>
      <c r="V134" s="368"/>
      <c r="W134" s="368"/>
      <c r="X134" s="368"/>
      <c r="Y134" s="368"/>
      <c r="Z134" s="368"/>
      <c r="AA134" s="368"/>
      <c r="AB134" s="368"/>
    </row>
    <row r="135" spans="1:28" ht="18" customHeight="1" x14ac:dyDescent="0.3">
      <c r="A135" s="402"/>
      <c r="B135" s="403"/>
      <c r="C135" s="124" t="s">
        <v>51</v>
      </c>
      <c r="D135" s="385">
        <f>11300000*0.001</f>
        <v>11300</v>
      </c>
      <c r="E135" s="133">
        <f>(G135*0.1%)</f>
        <v>11300</v>
      </c>
      <c r="F135" s="73">
        <f>E135-D135</f>
        <v>0</v>
      </c>
      <c r="G135" s="819">
        <f>M136+M138+M140+M143</f>
        <v>11300000</v>
      </c>
      <c r="H135" s="820"/>
      <c r="I135" s="820"/>
      <c r="J135" s="820"/>
      <c r="K135" s="820"/>
      <c r="L135" s="820"/>
      <c r="M135" s="821"/>
      <c r="N135" s="453"/>
      <c r="O135" s="368"/>
      <c r="P135" s="368"/>
      <c r="Q135" s="368"/>
      <c r="R135" s="368"/>
      <c r="S135" s="368"/>
      <c r="T135" s="368"/>
      <c r="U135" s="368"/>
      <c r="V135" s="368"/>
      <c r="W135" s="368"/>
      <c r="X135" s="368"/>
      <c r="Y135" s="368"/>
      <c r="Z135" s="368"/>
      <c r="AA135" s="368"/>
      <c r="AB135" s="368"/>
    </row>
    <row r="136" spans="1:28" ht="18" customHeight="1" x14ac:dyDescent="0.3">
      <c r="A136" s="402"/>
      <c r="B136" s="403"/>
      <c r="C136" s="124"/>
      <c r="D136" s="385"/>
      <c r="E136" s="133"/>
      <c r="F136" s="73"/>
      <c r="G136" s="144" t="s">
        <v>123</v>
      </c>
      <c r="H136" s="822"/>
      <c r="I136" s="822"/>
      <c r="J136" s="822"/>
      <c r="K136" s="822"/>
      <c r="L136" s="822"/>
      <c r="M136" s="428">
        <f>M137</f>
        <v>7000000</v>
      </c>
      <c r="N136" s="453"/>
      <c r="O136" s="368"/>
      <c r="P136" s="368"/>
      <c r="Q136" s="368"/>
      <c r="R136" s="368"/>
      <c r="S136" s="368"/>
      <c r="T136" s="368"/>
      <c r="U136" s="368"/>
      <c r="V136" s="368"/>
      <c r="W136" s="368"/>
      <c r="X136" s="368"/>
      <c r="Y136" s="368"/>
      <c r="Z136" s="368"/>
      <c r="AA136" s="368"/>
      <c r="AB136" s="368"/>
    </row>
    <row r="137" spans="1:28" ht="18" customHeight="1" x14ac:dyDescent="0.3">
      <c r="A137" s="30"/>
      <c r="B137" s="204"/>
      <c r="C137" s="38"/>
      <c r="D137" s="385"/>
      <c r="E137" s="133"/>
      <c r="F137" s="54"/>
      <c r="G137" s="619" t="s">
        <v>342</v>
      </c>
      <c r="H137" s="86">
        <v>3500000</v>
      </c>
      <c r="I137" s="408" t="s">
        <v>160</v>
      </c>
      <c r="J137" s="88">
        <v>2</v>
      </c>
      <c r="K137" s="143" t="s">
        <v>161</v>
      </c>
      <c r="L137" s="143" t="s">
        <v>164</v>
      </c>
      <c r="M137" s="428">
        <f>H137*J137</f>
        <v>7000000</v>
      </c>
      <c r="N137" s="453"/>
      <c r="O137" s="368"/>
      <c r="P137" s="368"/>
      <c r="Q137" s="368"/>
      <c r="R137" s="368"/>
      <c r="S137" s="368"/>
      <c r="T137" s="368"/>
      <c r="U137" s="368"/>
      <c r="V137" s="368"/>
      <c r="W137" s="368"/>
      <c r="X137" s="368"/>
      <c r="Y137" s="368"/>
      <c r="Z137" s="368"/>
      <c r="AA137" s="368"/>
      <c r="AB137" s="368"/>
    </row>
    <row r="138" spans="1:28" ht="18" customHeight="1" x14ac:dyDescent="0.3">
      <c r="A138" s="30"/>
      <c r="B138" s="204"/>
      <c r="C138" s="38"/>
      <c r="D138" s="385"/>
      <c r="E138" s="133"/>
      <c r="F138" s="54"/>
      <c r="G138" s="144" t="s">
        <v>133</v>
      </c>
      <c r="H138" s="86"/>
      <c r="I138" s="408"/>
      <c r="J138" s="88"/>
      <c r="K138" s="143"/>
      <c r="L138" s="143"/>
      <c r="M138" s="428">
        <f>SUM(M139:M139)</f>
        <v>200000</v>
      </c>
      <c r="N138" s="453"/>
      <c r="O138" s="368"/>
      <c r="P138" s="368"/>
      <c r="Q138" s="368"/>
      <c r="R138" s="368"/>
      <c r="S138" s="368"/>
      <c r="T138" s="368"/>
      <c r="U138" s="368"/>
      <c r="V138" s="368"/>
      <c r="W138" s="368"/>
      <c r="X138" s="368"/>
      <c r="Y138" s="368"/>
      <c r="Z138" s="368"/>
      <c r="AA138" s="368"/>
      <c r="AB138" s="368"/>
    </row>
    <row r="139" spans="1:28" ht="18" customHeight="1" x14ac:dyDescent="0.3">
      <c r="A139" s="30"/>
      <c r="B139" s="204"/>
      <c r="C139" s="38"/>
      <c r="D139" s="385"/>
      <c r="E139" s="133"/>
      <c r="F139" s="54"/>
      <c r="G139" s="143" t="s">
        <v>50</v>
      </c>
      <c r="H139" s="86">
        <v>100000</v>
      </c>
      <c r="I139" s="408" t="s">
        <v>160</v>
      </c>
      <c r="J139" s="88">
        <v>2</v>
      </c>
      <c r="K139" s="143" t="s">
        <v>161</v>
      </c>
      <c r="L139" s="143" t="s">
        <v>164</v>
      </c>
      <c r="M139" s="423">
        <f>H139*J139</f>
        <v>200000</v>
      </c>
      <c r="N139" s="453"/>
      <c r="O139" s="368"/>
      <c r="P139" s="368"/>
      <c r="Q139" s="368"/>
      <c r="R139" s="368"/>
      <c r="S139" s="368"/>
      <c r="T139" s="368"/>
      <c r="U139" s="368"/>
      <c r="V139" s="368"/>
      <c r="W139" s="368"/>
      <c r="X139" s="368"/>
      <c r="Y139" s="368"/>
      <c r="Z139" s="368"/>
      <c r="AA139" s="368"/>
      <c r="AB139" s="368"/>
    </row>
    <row r="140" spans="1:28" ht="18" customHeight="1" x14ac:dyDescent="0.3">
      <c r="A140" s="40"/>
      <c r="B140" s="123"/>
      <c r="C140" s="43"/>
      <c r="D140" s="574"/>
      <c r="E140" s="138"/>
      <c r="F140" s="55"/>
      <c r="G140" s="145" t="s">
        <v>134</v>
      </c>
      <c r="H140" s="874"/>
      <c r="I140" s="874"/>
      <c r="J140" s="874"/>
      <c r="K140" s="874"/>
      <c r="L140" s="874"/>
      <c r="M140" s="423">
        <f>M141+M142</f>
        <v>4000000</v>
      </c>
      <c r="N140" s="453"/>
      <c r="O140" s="368"/>
      <c r="P140" s="368"/>
      <c r="Q140" s="368"/>
      <c r="R140" s="368"/>
      <c r="S140" s="368"/>
      <c r="T140" s="368"/>
      <c r="U140" s="368"/>
      <c r="V140" s="368"/>
      <c r="W140" s="368"/>
      <c r="X140" s="368"/>
      <c r="Y140" s="368"/>
      <c r="Z140" s="368"/>
      <c r="AA140" s="368"/>
      <c r="AB140" s="368"/>
    </row>
    <row r="141" spans="1:28" ht="18" customHeight="1" x14ac:dyDescent="0.3">
      <c r="A141" s="30"/>
      <c r="B141" s="204"/>
      <c r="C141" s="38"/>
      <c r="D141" s="385"/>
      <c r="E141" s="133"/>
      <c r="F141" s="54"/>
      <c r="G141" s="146" t="s">
        <v>73</v>
      </c>
      <c r="H141" s="110">
        <v>2000000</v>
      </c>
      <c r="I141" s="404" t="s">
        <v>160</v>
      </c>
      <c r="J141" s="87">
        <v>1</v>
      </c>
      <c r="K141" s="146" t="s">
        <v>161</v>
      </c>
      <c r="L141" s="146" t="s">
        <v>164</v>
      </c>
      <c r="M141" s="423">
        <f>H141*J141</f>
        <v>2000000</v>
      </c>
      <c r="N141" s="453"/>
      <c r="O141" s="368"/>
      <c r="P141" s="368"/>
      <c r="Q141" s="368"/>
      <c r="R141" s="368"/>
      <c r="S141" s="368"/>
      <c r="T141" s="368"/>
      <c r="U141" s="368"/>
      <c r="V141" s="368"/>
      <c r="W141" s="368"/>
      <c r="X141" s="368"/>
      <c r="Y141" s="368"/>
      <c r="Z141" s="368"/>
      <c r="AA141" s="368"/>
      <c r="AB141" s="368"/>
    </row>
    <row r="142" spans="1:28" ht="18" customHeight="1" x14ac:dyDescent="0.3">
      <c r="A142" s="30"/>
      <c r="B142" s="204"/>
      <c r="C142" s="38"/>
      <c r="D142" s="385"/>
      <c r="E142" s="133"/>
      <c r="F142" s="54"/>
      <c r="G142" s="146" t="s">
        <v>5</v>
      </c>
      <c r="H142" s="407">
        <v>2000000</v>
      </c>
      <c r="I142" s="404" t="s">
        <v>160</v>
      </c>
      <c r="J142" s="87">
        <v>1</v>
      </c>
      <c r="K142" s="146" t="s">
        <v>161</v>
      </c>
      <c r="L142" s="146" t="s">
        <v>164</v>
      </c>
      <c r="M142" s="423">
        <f>H142*J142</f>
        <v>2000000</v>
      </c>
      <c r="N142" s="453"/>
      <c r="O142" s="368"/>
      <c r="P142" s="368"/>
      <c r="Q142" s="368"/>
      <c r="R142" s="368"/>
      <c r="S142" s="368"/>
      <c r="T142" s="368"/>
      <c r="U142" s="368"/>
      <c r="V142" s="368"/>
      <c r="W142" s="368"/>
      <c r="X142" s="368"/>
      <c r="Y142" s="368"/>
      <c r="Z142" s="368"/>
      <c r="AA142" s="368"/>
      <c r="AB142" s="368"/>
    </row>
    <row r="143" spans="1:28" ht="18" customHeight="1" x14ac:dyDescent="0.3">
      <c r="A143" s="30"/>
      <c r="B143" s="204"/>
      <c r="C143" s="38"/>
      <c r="D143" s="576"/>
      <c r="E143" s="136"/>
      <c r="F143" s="54"/>
      <c r="G143" s="145" t="s">
        <v>30</v>
      </c>
      <c r="H143" s="874"/>
      <c r="I143" s="874"/>
      <c r="J143" s="874"/>
      <c r="K143" s="874"/>
      <c r="L143" s="874"/>
      <c r="M143" s="423">
        <f>M144</f>
        <v>100000</v>
      </c>
      <c r="N143" s="453"/>
      <c r="O143" s="368"/>
      <c r="P143" s="368"/>
      <c r="Q143" s="368"/>
      <c r="R143" s="368"/>
      <c r="S143" s="368"/>
      <c r="T143" s="368"/>
      <c r="U143" s="368"/>
      <c r="V143" s="368"/>
      <c r="W143" s="368"/>
      <c r="X143" s="368"/>
      <c r="Y143" s="368"/>
      <c r="Z143" s="368"/>
      <c r="AA143" s="368"/>
      <c r="AB143" s="368"/>
    </row>
    <row r="144" spans="1:28" ht="18" customHeight="1" x14ac:dyDescent="0.3">
      <c r="A144" s="30"/>
      <c r="B144" s="204"/>
      <c r="C144" s="38"/>
      <c r="D144" s="385"/>
      <c r="E144" s="133"/>
      <c r="F144" s="54"/>
      <c r="G144" s="263" t="s">
        <v>188</v>
      </c>
      <c r="H144" s="110">
        <v>100000</v>
      </c>
      <c r="I144" s="404" t="s">
        <v>160</v>
      </c>
      <c r="J144" s="87">
        <v>1</v>
      </c>
      <c r="K144" s="146" t="s">
        <v>161</v>
      </c>
      <c r="L144" s="146" t="s">
        <v>164</v>
      </c>
      <c r="M144" s="423">
        <f>H144*J144</f>
        <v>100000</v>
      </c>
      <c r="N144" s="453"/>
      <c r="O144" s="368"/>
      <c r="P144" s="486"/>
      <c r="Q144" s="368"/>
      <c r="R144" s="368"/>
      <c r="S144" s="368"/>
      <c r="T144" s="368"/>
      <c r="U144" s="368"/>
      <c r="V144" s="368"/>
      <c r="W144" s="368"/>
      <c r="X144" s="368"/>
      <c r="Y144" s="368"/>
      <c r="Z144" s="368"/>
      <c r="AA144" s="368"/>
      <c r="AB144" s="368"/>
    </row>
    <row r="145" spans="1:28" ht="18" customHeight="1" x14ac:dyDescent="0.3">
      <c r="A145" s="30"/>
      <c r="B145" s="204"/>
      <c r="C145" s="38"/>
      <c r="D145" s="385"/>
      <c r="E145" s="133"/>
      <c r="F145" s="54"/>
      <c r="G145" s="875" t="s">
        <v>329</v>
      </c>
      <c r="H145" s="876"/>
      <c r="I145" s="876"/>
      <c r="J145" s="876"/>
      <c r="K145" s="876"/>
      <c r="L145" s="876"/>
      <c r="M145" s="877"/>
      <c r="N145" s="453"/>
      <c r="O145" s="489" t="s">
        <v>295</v>
      </c>
      <c r="P145" s="489" t="s">
        <v>223</v>
      </c>
      <c r="Q145" s="489" t="s">
        <v>224</v>
      </c>
      <c r="R145" s="489" t="s">
        <v>225</v>
      </c>
      <c r="S145" s="489" t="s">
        <v>226</v>
      </c>
      <c r="T145" s="368"/>
      <c r="U145" s="368"/>
      <c r="V145" s="368"/>
      <c r="W145" s="368"/>
      <c r="X145" s="368"/>
      <c r="Y145" s="368"/>
      <c r="Z145" s="368"/>
      <c r="AA145" s="368"/>
      <c r="AB145" s="368"/>
    </row>
    <row r="146" spans="1:28" ht="18" customHeight="1" x14ac:dyDescent="0.3">
      <c r="A146" s="402"/>
      <c r="B146" s="403"/>
      <c r="C146" s="124" t="s">
        <v>32</v>
      </c>
      <c r="D146" s="385">
        <f>3770000*0.001</f>
        <v>3770</v>
      </c>
      <c r="E146" s="346">
        <f>G146*0.1%</f>
        <v>3770</v>
      </c>
      <c r="F146" s="73">
        <f>E146-D146</f>
        <v>0</v>
      </c>
      <c r="G146" s="780">
        <f>M147</f>
        <v>3770000</v>
      </c>
      <c r="H146" s="780"/>
      <c r="I146" s="780"/>
      <c r="J146" s="780"/>
      <c r="K146" s="780"/>
      <c r="L146" s="780"/>
      <c r="M146" s="786"/>
      <c r="N146" s="453"/>
      <c r="O146" s="489" t="s">
        <v>296</v>
      </c>
      <c r="P146" s="520">
        <v>100000</v>
      </c>
      <c r="Q146" s="489">
        <v>400000</v>
      </c>
      <c r="R146" s="489"/>
      <c r="S146" s="489">
        <f t="shared" ref="S146:S151" si="30">SUM(P146:R146)</f>
        <v>500000</v>
      </c>
      <c r="T146" s="368"/>
      <c r="U146" s="368"/>
      <c r="V146" s="368"/>
      <c r="W146" s="368"/>
      <c r="X146" s="368"/>
      <c r="Y146" s="368"/>
      <c r="Z146" s="368"/>
      <c r="AA146" s="368"/>
      <c r="AB146" s="368"/>
    </row>
    <row r="147" spans="1:28" ht="18" customHeight="1" x14ac:dyDescent="0.3">
      <c r="A147" s="44"/>
      <c r="B147" s="45"/>
      <c r="C147" s="124" t="s">
        <v>108</v>
      </c>
      <c r="D147" s="574"/>
      <c r="E147" s="205"/>
      <c r="F147" s="214"/>
      <c r="G147" s="557" t="s">
        <v>33</v>
      </c>
      <c r="H147" s="823"/>
      <c r="I147" s="823"/>
      <c r="J147" s="823"/>
      <c r="K147" s="823"/>
      <c r="L147" s="823"/>
      <c r="M147" s="558">
        <f>M148+M149+M150+M151+M152</f>
        <v>3770000</v>
      </c>
      <c r="N147" s="453"/>
      <c r="O147" s="489" t="s">
        <v>297</v>
      </c>
      <c r="P147" s="520">
        <v>200000</v>
      </c>
      <c r="Q147" s="489">
        <v>720000</v>
      </c>
      <c r="R147" s="489"/>
      <c r="S147" s="489">
        <f t="shared" si="30"/>
        <v>920000</v>
      </c>
      <c r="T147" s="368"/>
      <c r="U147" s="368"/>
      <c r="V147" s="368"/>
      <c r="W147" s="368"/>
      <c r="X147" s="368"/>
      <c r="Y147" s="368"/>
      <c r="Z147" s="368"/>
      <c r="AA147" s="368"/>
      <c r="AB147" s="368"/>
    </row>
    <row r="148" spans="1:28" ht="18" customHeight="1" x14ac:dyDescent="0.3">
      <c r="A148" s="402"/>
      <c r="B148" s="403"/>
      <c r="C148" s="124"/>
      <c r="D148" s="385"/>
      <c r="E148" s="133"/>
      <c r="F148" s="73"/>
      <c r="G148" s="559" t="s">
        <v>52</v>
      </c>
      <c r="H148" s="560">
        <v>250000</v>
      </c>
      <c r="I148" s="542" t="s">
        <v>160</v>
      </c>
      <c r="J148" s="542">
        <v>2</v>
      </c>
      <c r="K148" s="542" t="s">
        <v>161</v>
      </c>
      <c r="L148" s="542" t="s">
        <v>164</v>
      </c>
      <c r="M148" s="561">
        <f>H148*J148</f>
        <v>500000</v>
      </c>
      <c r="N148" s="453"/>
      <c r="O148" s="489" t="s">
        <v>298</v>
      </c>
      <c r="P148" s="520">
        <v>0</v>
      </c>
      <c r="Q148" s="489">
        <v>1200000</v>
      </c>
      <c r="R148" s="489"/>
      <c r="S148" s="489">
        <f t="shared" si="30"/>
        <v>1200000</v>
      </c>
      <c r="T148" s="368"/>
      <c r="U148" s="368"/>
      <c r="V148" s="368"/>
      <c r="W148" s="368"/>
      <c r="X148" s="368"/>
      <c r="Y148" s="368"/>
      <c r="Z148" s="368"/>
      <c r="AA148" s="368"/>
      <c r="AB148" s="368"/>
    </row>
    <row r="149" spans="1:28" ht="18" customHeight="1" x14ac:dyDescent="0.3">
      <c r="A149" s="44"/>
      <c r="B149" s="45"/>
      <c r="C149" s="80"/>
      <c r="D149" s="574"/>
      <c r="E149" s="138"/>
      <c r="F149" s="214"/>
      <c r="G149" s="559" t="s">
        <v>211</v>
      </c>
      <c r="H149" s="560">
        <v>460000</v>
      </c>
      <c r="I149" s="542" t="s">
        <v>160</v>
      </c>
      <c r="J149" s="542">
        <v>2</v>
      </c>
      <c r="K149" s="542" t="s">
        <v>161</v>
      </c>
      <c r="L149" s="542" t="s">
        <v>164</v>
      </c>
      <c r="M149" s="561">
        <f>H149*J149</f>
        <v>920000</v>
      </c>
      <c r="N149" s="453"/>
      <c r="O149" s="489" t="s">
        <v>299</v>
      </c>
      <c r="P149" s="520">
        <v>0</v>
      </c>
      <c r="Q149" s="489">
        <v>100000</v>
      </c>
      <c r="R149" s="489"/>
      <c r="S149" s="489">
        <f t="shared" si="30"/>
        <v>100000</v>
      </c>
      <c r="T149" s="368"/>
      <c r="U149" s="368"/>
      <c r="V149" s="368"/>
      <c r="W149" s="368"/>
      <c r="X149" s="368"/>
      <c r="Y149" s="368"/>
      <c r="Z149" s="368"/>
      <c r="AA149" s="368"/>
      <c r="AB149" s="368"/>
    </row>
    <row r="150" spans="1:28" ht="18" customHeight="1" x14ac:dyDescent="0.3">
      <c r="A150" s="402"/>
      <c r="B150" s="403"/>
      <c r="C150" s="124"/>
      <c r="D150" s="385"/>
      <c r="E150" s="133"/>
      <c r="F150" s="73"/>
      <c r="G150" s="562" t="s">
        <v>343</v>
      </c>
      <c r="H150" s="563">
        <v>120000</v>
      </c>
      <c r="I150" s="564" t="s">
        <v>160</v>
      </c>
      <c r="J150" s="565">
        <v>10</v>
      </c>
      <c r="K150" s="566" t="s">
        <v>161</v>
      </c>
      <c r="L150" s="566" t="s">
        <v>164</v>
      </c>
      <c r="M150" s="561">
        <f>H150*J150</f>
        <v>1200000</v>
      </c>
      <c r="N150" s="453"/>
      <c r="O150" s="489" t="s">
        <v>300</v>
      </c>
      <c r="P150" s="520">
        <v>50000</v>
      </c>
      <c r="Q150" s="489">
        <v>1000000</v>
      </c>
      <c r="R150" s="489"/>
      <c r="S150" s="489">
        <f t="shared" si="30"/>
        <v>1050000</v>
      </c>
      <c r="T150" s="368"/>
      <c r="U150" s="368"/>
      <c r="V150" s="368"/>
      <c r="W150" s="368"/>
      <c r="X150" s="368"/>
      <c r="Y150" s="368"/>
      <c r="Z150" s="368"/>
      <c r="AA150" s="368"/>
      <c r="AB150" s="368"/>
    </row>
    <row r="151" spans="1:28" ht="18" customHeight="1" x14ac:dyDescent="0.3">
      <c r="A151" s="402"/>
      <c r="B151" s="403"/>
      <c r="C151" s="124"/>
      <c r="D151" s="385"/>
      <c r="E151" s="133"/>
      <c r="F151" s="73"/>
      <c r="G151" s="562" t="s">
        <v>8</v>
      </c>
      <c r="H151" s="563">
        <v>50000</v>
      </c>
      <c r="I151" s="564" t="s">
        <v>160</v>
      </c>
      <c r="J151" s="565">
        <v>2</v>
      </c>
      <c r="K151" s="566" t="s">
        <v>161</v>
      </c>
      <c r="L151" s="566" t="s">
        <v>164</v>
      </c>
      <c r="M151" s="561">
        <f>H151*J151</f>
        <v>100000</v>
      </c>
      <c r="N151" s="453"/>
      <c r="O151" s="489" t="s">
        <v>226</v>
      </c>
      <c r="P151" s="520">
        <f>SUM(P146:P150)</f>
        <v>350000</v>
      </c>
      <c r="Q151" s="489">
        <f>SUM(Q146:Q150)</f>
        <v>3420000</v>
      </c>
      <c r="R151" s="489">
        <f>SUM(R146:R148)</f>
        <v>0</v>
      </c>
      <c r="S151" s="489">
        <f t="shared" si="30"/>
        <v>3770000</v>
      </c>
      <c r="T151" s="368"/>
      <c r="U151" s="368"/>
      <c r="V151" s="368"/>
      <c r="W151" s="368"/>
      <c r="X151" s="368"/>
      <c r="Y151" s="368"/>
      <c r="Z151" s="368"/>
      <c r="AA151" s="368"/>
      <c r="AB151" s="368"/>
    </row>
    <row r="152" spans="1:28" ht="18" customHeight="1" x14ac:dyDescent="0.3">
      <c r="A152" s="402"/>
      <c r="B152" s="403"/>
      <c r="C152" s="124"/>
      <c r="D152" s="385"/>
      <c r="E152" s="133"/>
      <c r="F152" s="73"/>
      <c r="G152" s="562" t="s">
        <v>145</v>
      </c>
      <c r="H152" s="563">
        <v>1050000</v>
      </c>
      <c r="I152" s="564" t="s">
        <v>160</v>
      </c>
      <c r="J152" s="565">
        <v>1</v>
      </c>
      <c r="K152" s="566" t="s">
        <v>161</v>
      </c>
      <c r="L152" s="566" t="s">
        <v>164</v>
      </c>
      <c r="M152" s="561">
        <f>H152*J152</f>
        <v>1050000</v>
      </c>
      <c r="N152" s="453"/>
      <c r="O152" s="368"/>
      <c r="P152" s="368"/>
      <c r="Q152" s="368"/>
      <c r="R152" s="368"/>
      <c r="S152" s="368"/>
      <c r="T152" s="368"/>
      <c r="U152" s="368"/>
      <c r="V152" s="368"/>
      <c r="W152" s="368"/>
      <c r="X152" s="368"/>
      <c r="Y152" s="368"/>
      <c r="Z152" s="368"/>
      <c r="AA152" s="368"/>
      <c r="AB152" s="368"/>
    </row>
    <row r="153" spans="1:28" ht="18" customHeight="1" x14ac:dyDescent="0.3">
      <c r="A153" s="402"/>
      <c r="B153" s="403"/>
      <c r="C153" s="124"/>
      <c r="D153" s="385"/>
      <c r="E153" s="133"/>
      <c r="F153" s="73"/>
      <c r="G153" s="824" t="s">
        <v>387</v>
      </c>
      <c r="H153" s="825"/>
      <c r="I153" s="825"/>
      <c r="J153" s="825"/>
      <c r="K153" s="825"/>
      <c r="L153" s="825"/>
      <c r="M153" s="826"/>
      <c r="N153" s="453"/>
      <c r="O153" s="368"/>
      <c r="P153" s="368"/>
      <c r="Q153" s="368"/>
      <c r="R153" s="368"/>
      <c r="S153" s="368"/>
      <c r="T153" s="368"/>
      <c r="U153" s="368"/>
      <c r="V153" s="368"/>
      <c r="W153" s="368"/>
      <c r="X153" s="368"/>
      <c r="Y153" s="368"/>
      <c r="Z153" s="368"/>
      <c r="AA153" s="368"/>
      <c r="AB153" s="368"/>
    </row>
    <row r="154" spans="1:28" ht="18" customHeight="1" x14ac:dyDescent="0.3">
      <c r="A154" s="402"/>
      <c r="B154" s="403"/>
      <c r="C154" s="124" t="s">
        <v>110</v>
      </c>
      <c r="D154" s="385">
        <f>2100000*0.001</f>
        <v>2100</v>
      </c>
      <c r="E154" s="133">
        <f>G154*0.001</f>
        <v>2100</v>
      </c>
      <c r="F154" s="73">
        <f>E154-D154</f>
        <v>0</v>
      </c>
      <c r="G154" s="787">
        <f>M155</f>
        <v>2100000</v>
      </c>
      <c r="H154" s="802"/>
      <c r="I154" s="802"/>
      <c r="J154" s="802"/>
      <c r="K154" s="802"/>
      <c r="L154" s="802"/>
      <c r="M154" s="803"/>
      <c r="N154" s="368"/>
      <c r="O154" s="368"/>
      <c r="P154" s="368"/>
      <c r="Q154" s="368"/>
      <c r="R154" s="368"/>
      <c r="S154" s="368"/>
      <c r="T154" s="368"/>
      <c r="U154" s="368"/>
      <c r="V154" s="368"/>
      <c r="W154" s="368"/>
      <c r="X154" s="368"/>
      <c r="Y154" s="368"/>
      <c r="Z154" s="368"/>
      <c r="AA154" s="368"/>
      <c r="AB154" s="368"/>
    </row>
    <row r="155" spans="1:28" ht="18" customHeight="1" x14ac:dyDescent="0.3">
      <c r="A155" s="356"/>
      <c r="B155" s="153"/>
      <c r="C155" s="357" t="s">
        <v>53</v>
      </c>
      <c r="D155" s="388"/>
      <c r="E155" s="353"/>
      <c r="F155" s="245"/>
      <c r="G155" s="358" t="s">
        <v>136</v>
      </c>
      <c r="H155" s="359"/>
      <c r="I155" s="360"/>
      <c r="J155" s="361"/>
      <c r="K155" s="362"/>
      <c r="L155" s="362"/>
      <c r="M155" s="429">
        <f>M156+M157+M158</f>
        <v>2100000</v>
      </c>
      <c r="N155" s="368"/>
      <c r="O155" s="368"/>
      <c r="P155" s="368"/>
      <c r="Q155" s="368"/>
      <c r="R155" s="368"/>
      <c r="S155" s="368"/>
      <c r="T155" s="368"/>
      <c r="U155" s="368"/>
      <c r="V155" s="368"/>
      <c r="W155" s="368"/>
      <c r="X155" s="368"/>
      <c r="Y155" s="368"/>
      <c r="Z155" s="368"/>
      <c r="AA155" s="368"/>
      <c r="AB155" s="368"/>
    </row>
    <row r="156" spans="1:28" ht="18" customHeight="1" x14ac:dyDescent="0.3">
      <c r="A156" s="402"/>
      <c r="B156" s="403"/>
      <c r="C156" s="124"/>
      <c r="D156" s="385"/>
      <c r="E156" s="133"/>
      <c r="F156" s="73"/>
      <c r="G156" s="147" t="s">
        <v>54</v>
      </c>
      <c r="H156" s="51">
        <v>100000</v>
      </c>
      <c r="I156" s="405" t="s">
        <v>160</v>
      </c>
      <c r="J156" s="405">
        <v>20</v>
      </c>
      <c r="K156" s="405" t="s">
        <v>161</v>
      </c>
      <c r="L156" s="405" t="s">
        <v>164</v>
      </c>
      <c r="M156" s="423">
        <f>H156*J156</f>
        <v>2000000</v>
      </c>
      <c r="N156" s="368"/>
      <c r="O156" s="368"/>
      <c r="P156" s="368"/>
      <c r="Q156" s="368"/>
      <c r="R156" s="368"/>
      <c r="S156" s="368"/>
      <c r="T156" s="368"/>
      <c r="U156" s="368"/>
      <c r="V156" s="368"/>
      <c r="W156" s="368"/>
      <c r="X156" s="368"/>
      <c r="Y156" s="368"/>
      <c r="Z156" s="368"/>
      <c r="AA156" s="368"/>
      <c r="AB156" s="368"/>
    </row>
    <row r="157" spans="1:28" ht="18" customHeight="1" x14ac:dyDescent="0.3">
      <c r="A157" s="402"/>
      <c r="B157" s="403"/>
      <c r="C157" s="124"/>
      <c r="D157" s="385"/>
      <c r="E157" s="133"/>
      <c r="F157" s="73"/>
      <c r="G157" s="147" t="s">
        <v>58</v>
      </c>
      <c r="H157" s="51">
        <v>20000</v>
      </c>
      <c r="I157" s="405" t="s">
        <v>160</v>
      </c>
      <c r="J157" s="405">
        <v>1</v>
      </c>
      <c r="K157" s="405" t="s">
        <v>161</v>
      </c>
      <c r="L157" s="405" t="s">
        <v>164</v>
      </c>
      <c r="M157" s="423">
        <f>H157*J157</f>
        <v>20000</v>
      </c>
      <c r="N157" s="453"/>
      <c r="O157" s="368"/>
      <c r="P157" s="368"/>
      <c r="Q157" s="368"/>
      <c r="R157" s="368"/>
      <c r="S157" s="368"/>
      <c r="T157" s="368"/>
      <c r="U157" s="368"/>
      <c r="V157" s="368"/>
      <c r="W157" s="368"/>
      <c r="X157" s="368"/>
      <c r="Y157" s="368"/>
      <c r="Z157" s="368"/>
      <c r="AA157" s="368"/>
      <c r="AB157" s="368"/>
    </row>
    <row r="158" spans="1:28" ht="18" customHeight="1" x14ac:dyDescent="0.3">
      <c r="A158" s="356"/>
      <c r="B158" s="153"/>
      <c r="C158" s="357"/>
      <c r="D158" s="388"/>
      <c r="E158" s="353"/>
      <c r="F158" s="245"/>
      <c r="G158" s="363" t="s">
        <v>59</v>
      </c>
      <c r="H158" s="359">
        <v>20000</v>
      </c>
      <c r="I158" s="360" t="s">
        <v>160</v>
      </c>
      <c r="J158" s="361">
        <v>4</v>
      </c>
      <c r="K158" s="362" t="s">
        <v>161</v>
      </c>
      <c r="L158" s="362" t="s">
        <v>164</v>
      </c>
      <c r="M158" s="430">
        <f>H158*J158</f>
        <v>80000</v>
      </c>
      <c r="N158" s="453"/>
      <c r="O158" s="368"/>
      <c r="P158" s="368"/>
      <c r="Q158" s="368"/>
      <c r="R158" s="368"/>
      <c r="S158" s="368"/>
      <c r="T158" s="368"/>
      <c r="U158" s="368"/>
      <c r="V158" s="368"/>
      <c r="W158" s="368"/>
      <c r="X158" s="368"/>
      <c r="Y158" s="368"/>
      <c r="Z158" s="368"/>
      <c r="AA158" s="368"/>
      <c r="AB158" s="368"/>
    </row>
    <row r="159" spans="1:28" ht="18" customHeight="1" thickBot="1" x14ac:dyDescent="0.35">
      <c r="A159" s="32"/>
      <c r="B159" s="169"/>
      <c r="C159" s="273"/>
      <c r="D159" s="611"/>
      <c r="E159" s="137"/>
      <c r="F159" s="246"/>
      <c r="G159" s="796" t="s">
        <v>344</v>
      </c>
      <c r="H159" s="797"/>
      <c r="I159" s="797"/>
      <c r="J159" s="797"/>
      <c r="K159" s="797"/>
      <c r="L159" s="797"/>
      <c r="M159" s="798"/>
      <c r="N159" s="453"/>
      <c r="O159" s="368"/>
      <c r="P159" s="368"/>
      <c r="Q159" s="368"/>
      <c r="R159" s="368"/>
      <c r="S159" s="368"/>
      <c r="T159" s="368"/>
      <c r="U159" s="368"/>
      <c r="V159" s="368"/>
      <c r="W159" s="368"/>
      <c r="X159" s="368"/>
      <c r="Y159" s="368"/>
      <c r="Z159" s="368"/>
      <c r="AA159" s="368"/>
      <c r="AB159" s="368"/>
    </row>
    <row r="160" spans="1:28" s="78" customFormat="1" ht="18.95" customHeight="1" x14ac:dyDescent="0.3">
      <c r="A160" s="230" t="s">
        <v>113</v>
      </c>
      <c r="B160" s="231"/>
      <c r="C160" s="232"/>
      <c r="D160" s="233"/>
      <c r="E160" s="202"/>
      <c r="F160" s="234"/>
      <c r="G160" s="235"/>
      <c r="H160" s="79"/>
      <c r="I160" s="79"/>
      <c r="J160" s="79"/>
      <c r="K160" s="79"/>
      <c r="L160" s="79"/>
      <c r="M160" s="236"/>
      <c r="N160" s="453"/>
      <c r="O160" s="368"/>
      <c r="P160" s="368"/>
      <c r="Q160" s="368"/>
      <c r="R160" s="368"/>
      <c r="S160" s="368"/>
      <c r="T160" s="368"/>
      <c r="U160" s="368"/>
      <c r="V160" s="368"/>
      <c r="W160" s="368"/>
      <c r="X160" s="368"/>
      <c r="Y160" s="368"/>
      <c r="Z160" s="368"/>
      <c r="AA160" s="368"/>
      <c r="AB160" s="368"/>
    </row>
    <row r="161" spans="1:28" s="78" customFormat="1" ht="18.95" customHeight="1" thickBot="1" x14ac:dyDescent="0.35">
      <c r="A161" s="52"/>
      <c r="B161" s="126"/>
      <c r="C161" s="126"/>
      <c r="D161" s="126"/>
      <c r="E161" s="201"/>
      <c r="F161" s="127"/>
      <c r="G161" s="134"/>
      <c r="H161" s="126"/>
      <c r="I161" s="126"/>
      <c r="J161" s="126"/>
      <c r="K161" s="126"/>
      <c r="L161" s="126"/>
      <c r="M161" s="130" t="s">
        <v>26</v>
      </c>
      <c r="N161" s="453"/>
      <c r="O161" s="368"/>
      <c r="P161" s="368"/>
      <c r="Q161" s="368"/>
      <c r="R161" s="368"/>
      <c r="S161" s="368"/>
      <c r="T161" s="368"/>
      <c r="U161" s="368"/>
      <c r="V161" s="368"/>
      <c r="W161" s="368"/>
      <c r="X161" s="368"/>
      <c r="Y161" s="368"/>
      <c r="Z161" s="368"/>
      <c r="AA161" s="368"/>
      <c r="AB161" s="368"/>
    </row>
    <row r="162" spans="1:28" s="78" customFormat="1" ht="18.95" customHeight="1" x14ac:dyDescent="0.3">
      <c r="A162" s="816" t="s">
        <v>82</v>
      </c>
      <c r="B162" s="817"/>
      <c r="C162" s="817" t="s">
        <v>163</v>
      </c>
      <c r="D162" s="751" t="s">
        <v>357</v>
      </c>
      <c r="E162" s="751" t="s">
        <v>361</v>
      </c>
      <c r="F162" s="753" t="s">
        <v>20</v>
      </c>
      <c r="G162" s="758" t="s">
        <v>2</v>
      </c>
      <c r="H162" s="758"/>
      <c r="I162" s="758"/>
      <c r="J162" s="758"/>
      <c r="K162" s="758"/>
      <c r="L162" s="758"/>
      <c r="M162" s="759"/>
      <c r="N162" s="453"/>
      <c r="O162" s="368"/>
      <c r="P162" s="368"/>
      <c r="Q162" s="368"/>
      <c r="R162" s="368"/>
      <c r="S162" s="368"/>
      <c r="T162" s="368"/>
      <c r="U162" s="368"/>
      <c r="V162" s="368"/>
      <c r="W162" s="368"/>
      <c r="X162" s="368"/>
      <c r="Y162" s="368"/>
      <c r="Z162" s="368"/>
      <c r="AA162" s="368"/>
      <c r="AB162" s="368"/>
    </row>
    <row r="163" spans="1:28" ht="18.95" customHeight="1" x14ac:dyDescent="0.3">
      <c r="A163" s="21" t="s">
        <v>155</v>
      </c>
      <c r="B163" s="207" t="s">
        <v>150</v>
      </c>
      <c r="C163" s="22" t="s">
        <v>163</v>
      </c>
      <c r="D163" s="752"/>
      <c r="E163" s="752"/>
      <c r="F163" s="754"/>
      <c r="G163" s="752"/>
      <c r="H163" s="752"/>
      <c r="I163" s="752"/>
      <c r="J163" s="752"/>
      <c r="K163" s="752"/>
      <c r="L163" s="752"/>
      <c r="M163" s="760"/>
      <c r="N163" s="453"/>
      <c r="O163" s="368"/>
      <c r="P163" s="368"/>
      <c r="Q163" s="368"/>
      <c r="R163" s="368"/>
      <c r="S163" s="368"/>
      <c r="T163" s="368"/>
      <c r="U163" s="368"/>
      <c r="V163" s="368"/>
      <c r="W163" s="368"/>
      <c r="X163" s="368"/>
      <c r="Y163" s="368"/>
      <c r="Z163" s="368"/>
      <c r="AA163" s="368"/>
      <c r="AB163" s="368"/>
    </row>
    <row r="164" spans="1:28" ht="17.649999999999999" customHeight="1" x14ac:dyDescent="0.3">
      <c r="A164" s="402"/>
      <c r="B164" s="403"/>
      <c r="C164" s="124" t="s">
        <v>127</v>
      </c>
      <c r="D164" s="385">
        <f>600000*0.001</f>
        <v>600</v>
      </c>
      <c r="E164" s="133">
        <f>G164*0.001</f>
        <v>600</v>
      </c>
      <c r="F164" s="73">
        <f>E164-D164</f>
        <v>0</v>
      </c>
      <c r="G164" s="787">
        <f>M165</f>
        <v>600000</v>
      </c>
      <c r="H164" s="802"/>
      <c r="I164" s="802"/>
      <c r="J164" s="802"/>
      <c r="K164" s="802"/>
      <c r="L164" s="802"/>
      <c r="M164" s="803"/>
      <c r="N164" s="453"/>
      <c r="O164" s="368"/>
      <c r="P164" s="368"/>
      <c r="Q164" s="368"/>
      <c r="R164" s="368"/>
      <c r="S164" s="368"/>
      <c r="T164" s="368"/>
      <c r="U164" s="368"/>
      <c r="V164" s="368"/>
      <c r="W164" s="368"/>
      <c r="X164" s="368"/>
      <c r="Y164" s="368"/>
      <c r="Z164" s="368"/>
      <c r="AA164" s="368"/>
      <c r="AB164" s="368"/>
    </row>
    <row r="165" spans="1:28" ht="17.649999999999999" customHeight="1" x14ac:dyDescent="0.3">
      <c r="A165" s="402"/>
      <c r="B165" s="403"/>
      <c r="C165" s="124"/>
      <c r="D165" s="385"/>
      <c r="E165" s="133"/>
      <c r="F165" s="73"/>
      <c r="G165" s="148" t="s">
        <v>119</v>
      </c>
      <c r="H165" s="407"/>
      <c r="I165" s="404"/>
      <c r="J165" s="87"/>
      <c r="K165" s="146"/>
      <c r="L165" s="146"/>
      <c r="M165" s="422">
        <f>M166</f>
        <v>600000</v>
      </c>
      <c r="N165" s="453"/>
      <c r="O165" s="368"/>
      <c r="P165" s="368"/>
      <c r="Q165" s="368"/>
      <c r="R165" s="368"/>
      <c r="S165" s="368"/>
      <c r="T165" s="368"/>
      <c r="U165" s="368"/>
      <c r="V165" s="368"/>
      <c r="W165" s="368"/>
      <c r="X165" s="368"/>
      <c r="Y165" s="368"/>
      <c r="Z165" s="368"/>
      <c r="AA165" s="368"/>
      <c r="AB165" s="368"/>
    </row>
    <row r="166" spans="1:28" ht="17.649999999999999" customHeight="1" x14ac:dyDescent="0.3">
      <c r="A166" s="402"/>
      <c r="B166" s="403"/>
      <c r="C166" s="124"/>
      <c r="D166" s="385"/>
      <c r="E166" s="133"/>
      <c r="F166" s="73"/>
      <c r="G166" s="149" t="s">
        <v>50</v>
      </c>
      <c r="H166" s="407">
        <v>50000</v>
      </c>
      <c r="I166" s="404" t="s">
        <v>160</v>
      </c>
      <c r="J166" s="87">
        <v>12</v>
      </c>
      <c r="K166" s="146" t="s">
        <v>161</v>
      </c>
      <c r="L166" s="146" t="s">
        <v>164</v>
      </c>
      <c r="M166" s="422">
        <f>H166*J166</f>
        <v>600000</v>
      </c>
      <c r="N166" s="453"/>
      <c r="O166" s="368"/>
      <c r="P166" s="368"/>
      <c r="Q166" s="368"/>
      <c r="R166" s="368"/>
      <c r="S166" s="368"/>
      <c r="T166" s="368"/>
      <c r="U166" s="368"/>
      <c r="V166" s="368"/>
      <c r="W166" s="368"/>
      <c r="X166" s="368"/>
      <c r="Y166" s="368"/>
      <c r="Z166" s="368"/>
      <c r="AA166" s="368"/>
      <c r="AB166" s="368"/>
    </row>
    <row r="167" spans="1:28" ht="17.649999999999999" customHeight="1" x14ac:dyDescent="0.3">
      <c r="A167" s="402"/>
      <c r="B167" s="403"/>
      <c r="C167" s="124"/>
      <c r="D167" s="385"/>
      <c r="E167" s="133"/>
      <c r="F167" s="73"/>
      <c r="G167" s="793" t="s">
        <v>330</v>
      </c>
      <c r="H167" s="794"/>
      <c r="I167" s="794"/>
      <c r="J167" s="794"/>
      <c r="K167" s="794"/>
      <c r="L167" s="794"/>
      <c r="M167" s="795"/>
      <c r="N167" s="453"/>
      <c r="O167" s="368"/>
      <c r="P167" s="368"/>
      <c r="Q167" s="368"/>
      <c r="R167" s="368"/>
      <c r="S167" s="368"/>
      <c r="T167" s="368"/>
      <c r="U167" s="368"/>
      <c r="V167" s="368"/>
      <c r="W167" s="368"/>
      <c r="X167" s="368"/>
      <c r="Y167" s="368"/>
      <c r="Z167" s="368"/>
      <c r="AA167" s="368"/>
      <c r="AB167" s="368"/>
    </row>
    <row r="168" spans="1:28" ht="17.649999999999999" customHeight="1" x14ac:dyDescent="0.3">
      <c r="A168" s="402"/>
      <c r="B168" s="403"/>
      <c r="C168" s="124" t="s">
        <v>34</v>
      </c>
      <c r="D168" s="385">
        <f>100000*0.001</f>
        <v>100</v>
      </c>
      <c r="E168" s="133">
        <f>G168*0.001</f>
        <v>100</v>
      </c>
      <c r="F168" s="73">
        <f>E168-D168</f>
        <v>0</v>
      </c>
      <c r="G168" s="787">
        <f>M169</f>
        <v>100000</v>
      </c>
      <c r="H168" s="802"/>
      <c r="I168" s="802"/>
      <c r="J168" s="802"/>
      <c r="K168" s="802"/>
      <c r="L168" s="802"/>
      <c r="M168" s="803"/>
      <c r="N168" s="453"/>
      <c r="O168" s="368"/>
      <c r="P168" s="368"/>
      <c r="Q168" s="368"/>
      <c r="R168" s="368"/>
      <c r="S168" s="368"/>
      <c r="T168" s="368"/>
      <c r="U168" s="368"/>
      <c r="V168" s="368"/>
      <c r="W168" s="368"/>
      <c r="X168" s="368"/>
      <c r="Y168" s="368"/>
      <c r="Z168" s="368"/>
      <c r="AA168" s="368"/>
      <c r="AB168" s="368"/>
    </row>
    <row r="169" spans="1:28" ht="17.649999999999999" customHeight="1" x14ac:dyDescent="0.3">
      <c r="A169" s="402"/>
      <c r="B169" s="403"/>
      <c r="C169" s="124"/>
      <c r="D169" s="385"/>
      <c r="E169" s="133"/>
      <c r="F169" s="73"/>
      <c r="G169" s="148" t="s">
        <v>116</v>
      </c>
      <c r="H169" s="407"/>
      <c r="I169" s="404"/>
      <c r="J169" s="87"/>
      <c r="K169" s="146"/>
      <c r="L169" s="146"/>
      <c r="M169" s="422">
        <f>M170</f>
        <v>100000</v>
      </c>
      <c r="N169" s="453"/>
      <c r="O169" s="368"/>
      <c r="P169" s="368"/>
      <c r="Q169" s="368"/>
      <c r="R169" s="368"/>
      <c r="S169" s="368"/>
      <c r="T169" s="368"/>
      <c r="U169" s="368"/>
      <c r="V169" s="368"/>
      <c r="W169" s="368"/>
      <c r="X169" s="368"/>
      <c r="Y169" s="368"/>
      <c r="Z169" s="368"/>
      <c r="AA169" s="368"/>
      <c r="AB169" s="368"/>
    </row>
    <row r="170" spans="1:28" ht="17.649999999999999" customHeight="1" x14ac:dyDescent="0.3">
      <c r="A170" s="402"/>
      <c r="B170" s="403"/>
      <c r="C170" s="124"/>
      <c r="D170" s="385"/>
      <c r="E170" s="133"/>
      <c r="F170" s="73"/>
      <c r="G170" s="147" t="s">
        <v>50</v>
      </c>
      <c r="H170" s="407">
        <v>100000</v>
      </c>
      <c r="I170" s="404" t="s">
        <v>160</v>
      </c>
      <c r="J170" s="87">
        <v>1</v>
      </c>
      <c r="K170" s="146" t="s">
        <v>161</v>
      </c>
      <c r="L170" s="146" t="s">
        <v>164</v>
      </c>
      <c r="M170" s="422">
        <f>H170*J170</f>
        <v>100000</v>
      </c>
      <c r="N170" s="453"/>
      <c r="O170" s="368"/>
      <c r="P170" s="368"/>
      <c r="Q170" s="368"/>
      <c r="R170" s="368"/>
      <c r="S170" s="368"/>
      <c r="T170" s="368"/>
      <c r="U170" s="368"/>
      <c r="V170" s="368"/>
      <c r="W170" s="368"/>
      <c r="X170" s="368"/>
      <c r="Y170" s="368"/>
      <c r="Z170" s="368"/>
      <c r="AA170" s="368"/>
      <c r="AB170" s="368"/>
    </row>
    <row r="171" spans="1:28" ht="17.649999999999999" customHeight="1" x14ac:dyDescent="0.3">
      <c r="A171" s="402"/>
      <c r="B171" s="403"/>
      <c r="C171" s="124"/>
      <c r="D171" s="385"/>
      <c r="E171" s="133"/>
      <c r="F171" s="73"/>
      <c r="G171" s="345" t="s">
        <v>187</v>
      </c>
      <c r="H171" s="407"/>
      <c r="I171" s="404"/>
      <c r="J171" s="87"/>
      <c r="K171" s="146"/>
      <c r="L171" s="146"/>
      <c r="M171" s="422"/>
      <c r="N171" s="453"/>
      <c r="O171" s="368"/>
      <c r="P171" s="368"/>
      <c r="Q171" s="368"/>
      <c r="R171" s="368"/>
      <c r="S171" s="368"/>
      <c r="T171" s="368"/>
      <c r="U171" s="368"/>
      <c r="V171" s="368"/>
      <c r="W171" s="368"/>
      <c r="X171" s="368"/>
      <c r="Y171" s="368"/>
      <c r="Z171" s="368"/>
      <c r="AA171" s="368"/>
      <c r="AB171" s="368"/>
    </row>
    <row r="172" spans="1:28" ht="17.649999999999999" customHeight="1" x14ac:dyDescent="0.3">
      <c r="A172" s="402"/>
      <c r="B172" s="403"/>
      <c r="C172" s="124" t="s">
        <v>35</v>
      </c>
      <c r="D172" s="385">
        <f>1300000*0.001</f>
        <v>1300</v>
      </c>
      <c r="E172" s="133">
        <f>G172*0.001</f>
        <v>1300</v>
      </c>
      <c r="F172" s="73">
        <f>E172-D172</f>
        <v>0</v>
      </c>
      <c r="G172" s="787">
        <f>M173+M176</f>
        <v>1300000</v>
      </c>
      <c r="H172" s="802"/>
      <c r="I172" s="802"/>
      <c r="J172" s="802"/>
      <c r="K172" s="802"/>
      <c r="L172" s="802"/>
      <c r="M172" s="803"/>
      <c r="N172" s="453"/>
      <c r="O172" s="368"/>
      <c r="P172" s="368"/>
      <c r="Q172" s="368"/>
      <c r="R172" s="368"/>
      <c r="S172" s="368"/>
      <c r="T172" s="368"/>
      <c r="U172" s="368"/>
      <c r="V172" s="368"/>
      <c r="W172" s="368"/>
      <c r="X172" s="368"/>
      <c r="Y172" s="368"/>
      <c r="Z172" s="368"/>
      <c r="AA172" s="368"/>
      <c r="AB172" s="368"/>
    </row>
    <row r="173" spans="1:28" ht="17.649999999999999" customHeight="1" x14ac:dyDescent="0.3">
      <c r="A173" s="402"/>
      <c r="B173" s="403"/>
      <c r="C173" s="124"/>
      <c r="D173" s="385"/>
      <c r="E173" s="133"/>
      <c r="F173" s="73"/>
      <c r="G173" s="142" t="s">
        <v>139</v>
      </c>
      <c r="H173" s="407"/>
      <c r="I173" s="404"/>
      <c r="J173" s="87"/>
      <c r="K173" s="146"/>
      <c r="L173" s="146"/>
      <c r="M173" s="422">
        <f>M174+M175</f>
        <v>1200000</v>
      </c>
      <c r="N173" s="453"/>
      <c r="O173" s="368"/>
      <c r="P173" s="368"/>
      <c r="Q173" s="368"/>
      <c r="R173" s="368"/>
      <c r="S173" s="368"/>
      <c r="T173" s="368"/>
      <c r="U173" s="368"/>
      <c r="V173" s="368"/>
      <c r="W173" s="368"/>
      <c r="X173" s="368"/>
      <c r="Y173" s="368"/>
      <c r="Z173" s="368"/>
      <c r="AA173" s="368"/>
      <c r="AB173" s="368"/>
    </row>
    <row r="174" spans="1:28" ht="17.649999999999999" customHeight="1" x14ac:dyDescent="0.3">
      <c r="A174" s="402"/>
      <c r="B174" s="403"/>
      <c r="C174" s="124"/>
      <c r="D174" s="385"/>
      <c r="E174" s="133"/>
      <c r="F174" s="73"/>
      <c r="G174" s="147" t="s">
        <v>6</v>
      </c>
      <c r="H174" s="407">
        <v>100000</v>
      </c>
      <c r="I174" s="404" t="s">
        <v>160</v>
      </c>
      <c r="J174" s="87">
        <v>3</v>
      </c>
      <c r="K174" s="146" t="s">
        <v>161</v>
      </c>
      <c r="L174" s="146" t="s">
        <v>164</v>
      </c>
      <c r="M174" s="422">
        <f>H174*J174</f>
        <v>300000</v>
      </c>
      <c r="N174" s="453"/>
      <c r="O174" s="368"/>
      <c r="P174" s="368"/>
      <c r="Q174" s="368"/>
      <c r="R174" s="368"/>
      <c r="S174" s="368"/>
      <c r="T174" s="368"/>
      <c r="U174" s="368"/>
      <c r="V174" s="368"/>
      <c r="W174" s="368"/>
      <c r="X174" s="368"/>
      <c r="Y174" s="368"/>
      <c r="Z174" s="368"/>
      <c r="AA174" s="368"/>
      <c r="AB174" s="368"/>
    </row>
    <row r="175" spans="1:28" ht="17.649999999999999" customHeight="1" x14ac:dyDescent="0.3">
      <c r="A175" s="402"/>
      <c r="B175" s="403"/>
      <c r="C175" s="124"/>
      <c r="D175" s="385"/>
      <c r="E175" s="133"/>
      <c r="F175" s="73"/>
      <c r="G175" s="147" t="s">
        <v>122</v>
      </c>
      <c r="H175" s="407">
        <v>300000</v>
      </c>
      <c r="I175" s="404" t="s">
        <v>160</v>
      </c>
      <c r="J175" s="87">
        <v>3</v>
      </c>
      <c r="K175" s="146" t="s">
        <v>161</v>
      </c>
      <c r="L175" s="146" t="s">
        <v>164</v>
      </c>
      <c r="M175" s="422">
        <f>H175*J175</f>
        <v>900000</v>
      </c>
      <c r="N175" s="453"/>
      <c r="O175" s="368"/>
      <c r="P175" s="368"/>
      <c r="Q175" s="368"/>
      <c r="R175" s="368"/>
      <c r="S175" s="368"/>
      <c r="T175" s="368"/>
      <c r="U175" s="368"/>
      <c r="V175" s="368"/>
      <c r="W175" s="368"/>
      <c r="X175" s="368"/>
      <c r="Y175" s="368"/>
      <c r="Z175" s="368"/>
      <c r="AA175" s="368"/>
      <c r="AB175" s="368"/>
    </row>
    <row r="176" spans="1:28" ht="17.649999999999999" customHeight="1" x14ac:dyDescent="0.3">
      <c r="A176" s="402"/>
      <c r="B176" s="403"/>
      <c r="C176" s="124"/>
      <c r="D176" s="385"/>
      <c r="E176" s="133"/>
      <c r="F176" s="73"/>
      <c r="G176" s="142" t="s">
        <v>109</v>
      </c>
      <c r="H176" s="811"/>
      <c r="I176" s="811"/>
      <c r="J176" s="811"/>
      <c r="K176" s="811"/>
      <c r="L176" s="811"/>
      <c r="M176" s="422">
        <f>M177</f>
        <v>100000</v>
      </c>
      <c r="N176" s="453"/>
      <c r="O176" s="368"/>
      <c r="P176" s="368"/>
      <c r="Q176" s="368"/>
      <c r="R176" s="368"/>
      <c r="S176" s="368"/>
      <c r="T176" s="368"/>
      <c r="U176" s="368"/>
      <c r="V176" s="368"/>
      <c r="W176" s="368"/>
      <c r="X176" s="368"/>
      <c r="Y176" s="368"/>
      <c r="Z176" s="368"/>
      <c r="AA176" s="368"/>
      <c r="AB176" s="368"/>
    </row>
    <row r="177" spans="1:28" ht="17.649999999999999" customHeight="1" x14ac:dyDescent="0.3">
      <c r="A177" s="402"/>
      <c r="B177" s="403"/>
      <c r="C177" s="124"/>
      <c r="D177" s="385"/>
      <c r="E177" s="133"/>
      <c r="F177" s="73"/>
      <c r="G177" s="150" t="s">
        <v>50</v>
      </c>
      <c r="H177" s="154">
        <v>100000</v>
      </c>
      <c r="I177" s="150" t="s">
        <v>160</v>
      </c>
      <c r="J177" s="150">
        <v>1</v>
      </c>
      <c r="K177" s="150" t="s">
        <v>161</v>
      </c>
      <c r="L177" s="150" t="s">
        <v>164</v>
      </c>
      <c r="M177" s="423">
        <f>H177*J177</f>
        <v>100000</v>
      </c>
      <c r="N177" s="453"/>
      <c r="O177" s="368"/>
      <c r="P177" s="368"/>
      <c r="Q177" s="368"/>
      <c r="R177" s="368"/>
      <c r="S177" s="368"/>
      <c r="T177" s="368"/>
      <c r="U177" s="368"/>
      <c r="V177" s="368"/>
      <c r="W177" s="368"/>
      <c r="X177" s="368"/>
      <c r="Y177" s="368"/>
      <c r="Z177" s="368"/>
      <c r="AA177" s="368"/>
      <c r="AB177" s="368"/>
    </row>
    <row r="178" spans="1:28" ht="17.649999999999999" customHeight="1" x14ac:dyDescent="0.3">
      <c r="A178" s="402"/>
      <c r="B178" s="403"/>
      <c r="C178" s="124"/>
      <c r="D178" s="385"/>
      <c r="E178" s="133"/>
      <c r="F178" s="73"/>
      <c r="G178" s="827" t="s">
        <v>331</v>
      </c>
      <c r="H178" s="828"/>
      <c r="I178" s="828"/>
      <c r="J178" s="828"/>
      <c r="K178" s="828"/>
      <c r="L178" s="828"/>
      <c r="M178" s="829"/>
      <c r="N178" s="453"/>
      <c r="O178" s="368"/>
      <c r="P178" s="368"/>
      <c r="Q178" s="368"/>
      <c r="R178" s="368"/>
      <c r="S178" s="368"/>
      <c r="T178" s="368"/>
      <c r="U178" s="368"/>
      <c r="V178" s="368"/>
      <c r="W178" s="368"/>
      <c r="X178" s="368"/>
      <c r="Y178" s="368"/>
      <c r="Z178" s="368"/>
      <c r="AA178" s="368"/>
      <c r="AB178" s="368"/>
    </row>
    <row r="179" spans="1:28" ht="17.649999999999999" customHeight="1" x14ac:dyDescent="0.3">
      <c r="A179" s="402"/>
      <c r="B179" s="403"/>
      <c r="C179" s="124" t="s">
        <v>38</v>
      </c>
      <c r="D179" s="385">
        <f>2000000*0.001</f>
        <v>2000</v>
      </c>
      <c r="E179" s="133">
        <f>G179*0.001</f>
        <v>2000</v>
      </c>
      <c r="F179" s="73">
        <f>E179-D179</f>
        <v>0</v>
      </c>
      <c r="G179" s="804">
        <f>H180+H183</f>
        <v>2000000</v>
      </c>
      <c r="H179" s="805"/>
      <c r="I179" s="805"/>
      <c r="J179" s="805"/>
      <c r="K179" s="805"/>
      <c r="L179" s="805"/>
      <c r="M179" s="806"/>
      <c r="AB179" s="368"/>
    </row>
    <row r="180" spans="1:28" ht="17.649999999999999" customHeight="1" x14ac:dyDescent="0.3">
      <c r="A180" s="402"/>
      <c r="B180" s="403"/>
      <c r="C180" s="124"/>
      <c r="D180" s="385"/>
      <c r="E180" s="133"/>
      <c r="F180" s="73"/>
      <c r="G180" s="142" t="s">
        <v>64</v>
      </c>
      <c r="H180" s="807">
        <f>M181+M182</f>
        <v>1000000</v>
      </c>
      <c r="I180" s="807"/>
      <c r="J180" s="807"/>
      <c r="K180" s="807"/>
      <c r="L180" s="807"/>
      <c r="M180" s="808"/>
      <c r="AB180" s="368"/>
    </row>
    <row r="181" spans="1:28" ht="17.649999999999999" customHeight="1" x14ac:dyDescent="0.3">
      <c r="A181" s="402"/>
      <c r="B181" s="403"/>
      <c r="C181" s="124"/>
      <c r="D181" s="385"/>
      <c r="E181" s="133"/>
      <c r="F181" s="73"/>
      <c r="G181" s="150" t="s">
        <v>120</v>
      </c>
      <c r="H181" s="154">
        <v>800000</v>
      </c>
      <c r="I181" s="150" t="s">
        <v>160</v>
      </c>
      <c r="J181" s="150">
        <v>1</v>
      </c>
      <c r="K181" s="150" t="s">
        <v>161</v>
      </c>
      <c r="L181" s="150" t="s">
        <v>164</v>
      </c>
      <c r="M181" s="424">
        <f>H181*J181</f>
        <v>800000</v>
      </c>
      <c r="N181" s="453"/>
      <c r="O181" s="368"/>
      <c r="P181" s="368"/>
      <c r="Q181" s="368"/>
      <c r="R181" s="368"/>
      <c r="S181" s="368"/>
      <c r="T181" s="368"/>
      <c r="U181" s="368"/>
      <c r="V181" s="368"/>
      <c r="W181" s="368"/>
      <c r="X181" s="368"/>
      <c r="Y181" s="368"/>
      <c r="Z181" s="368"/>
      <c r="AA181" s="368"/>
      <c r="AB181" s="368"/>
    </row>
    <row r="182" spans="1:28" ht="17.649999999999999" customHeight="1" x14ac:dyDescent="0.3">
      <c r="A182" s="40"/>
      <c r="B182" s="123"/>
      <c r="C182" s="41"/>
      <c r="D182" s="574"/>
      <c r="E182" s="138"/>
      <c r="F182" s="55"/>
      <c r="G182" s="141" t="s">
        <v>60</v>
      </c>
      <c r="H182" s="154">
        <v>200000</v>
      </c>
      <c r="I182" s="150" t="s">
        <v>160</v>
      </c>
      <c r="J182" s="150">
        <v>1</v>
      </c>
      <c r="K182" s="150" t="s">
        <v>161</v>
      </c>
      <c r="L182" s="150" t="s">
        <v>164</v>
      </c>
      <c r="M182" s="424">
        <f>H182*J182</f>
        <v>200000</v>
      </c>
      <c r="N182" s="453"/>
      <c r="O182" s="368"/>
      <c r="P182" s="368"/>
      <c r="Q182" s="368"/>
      <c r="R182" s="368"/>
      <c r="S182" s="368"/>
      <c r="T182" s="368"/>
      <c r="U182" s="368"/>
      <c r="V182" s="368"/>
      <c r="W182" s="368"/>
      <c r="X182" s="368"/>
      <c r="Y182" s="368"/>
      <c r="Z182" s="368"/>
      <c r="AA182" s="368"/>
      <c r="AB182" s="368"/>
    </row>
    <row r="183" spans="1:28" ht="17.649999999999999" customHeight="1" x14ac:dyDescent="0.3">
      <c r="A183" s="402"/>
      <c r="B183" s="403"/>
      <c r="C183" s="124"/>
      <c r="D183" s="385"/>
      <c r="E183" s="133"/>
      <c r="F183" s="73"/>
      <c r="G183" s="142" t="s">
        <v>63</v>
      </c>
      <c r="H183" s="809">
        <f>M184</f>
        <v>1000000</v>
      </c>
      <c r="I183" s="809"/>
      <c r="J183" s="809"/>
      <c r="K183" s="809"/>
      <c r="L183" s="809"/>
      <c r="M183" s="810"/>
      <c r="N183" s="453"/>
      <c r="O183" s="368"/>
      <c r="P183" s="368"/>
      <c r="Q183" s="368"/>
      <c r="R183" s="368"/>
      <c r="S183" s="368"/>
      <c r="T183" s="368"/>
      <c r="U183" s="368"/>
      <c r="V183" s="368"/>
      <c r="W183" s="368"/>
      <c r="X183" s="368"/>
      <c r="Y183" s="368"/>
      <c r="Z183" s="368"/>
      <c r="AA183" s="368"/>
      <c r="AB183" s="368"/>
    </row>
    <row r="184" spans="1:28" ht="17.649999999999999" customHeight="1" x14ac:dyDescent="0.3">
      <c r="A184" s="402"/>
      <c r="B184" s="403"/>
      <c r="C184" s="124"/>
      <c r="D184" s="385"/>
      <c r="E184" s="133"/>
      <c r="F184" s="73"/>
      <c r="G184" s="251" t="s">
        <v>9</v>
      </c>
      <c r="H184" s="154">
        <v>500000</v>
      </c>
      <c r="I184" s="150" t="s">
        <v>160</v>
      </c>
      <c r="J184" s="150">
        <v>2</v>
      </c>
      <c r="K184" s="150" t="s">
        <v>161</v>
      </c>
      <c r="L184" s="150" t="s">
        <v>164</v>
      </c>
      <c r="M184" s="424">
        <f>H184*J184</f>
        <v>1000000</v>
      </c>
      <c r="N184" s="453"/>
      <c r="O184" s="368"/>
      <c r="P184" s="368"/>
      <c r="Q184" s="368"/>
      <c r="R184" s="368"/>
      <c r="S184" s="368"/>
      <c r="T184" s="368"/>
      <c r="U184" s="368"/>
      <c r="V184" s="368"/>
      <c r="W184" s="368"/>
      <c r="X184" s="368"/>
      <c r="Y184" s="368"/>
      <c r="Z184" s="368"/>
      <c r="AA184" s="368"/>
      <c r="AB184" s="368"/>
    </row>
    <row r="185" spans="1:28" ht="17.649999999999999" customHeight="1" x14ac:dyDescent="0.3">
      <c r="A185" s="402"/>
      <c r="B185" s="403"/>
      <c r="C185" s="124"/>
      <c r="D185" s="385"/>
      <c r="E185" s="133"/>
      <c r="F185" s="73"/>
      <c r="G185" s="790" t="s">
        <v>216</v>
      </c>
      <c r="H185" s="791"/>
      <c r="I185" s="791"/>
      <c r="J185" s="791"/>
      <c r="K185" s="791"/>
      <c r="L185" s="791"/>
      <c r="M185" s="792"/>
      <c r="N185" s="453"/>
      <c r="O185" s="368"/>
      <c r="P185" s="368"/>
      <c r="Q185" s="368"/>
      <c r="R185" s="368"/>
      <c r="S185" s="368"/>
      <c r="T185" s="368"/>
      <c r="U185" s="368"/>
      <c r="V185" s="368"/>
      <c r="W185" s="368"/>
      <c r="X185" s="368"/>
      <c r="Y185" s="368"/>
      <c r="Z185" s="368"/>
      <c r="AA185" s="368"/>
      <c r="AB185" s="368"/>
    </row>
    <row r="186" spans="1:28" ht="17.649999999999999" customHeight="1" x14ac:dyDescent="0.3">
      <c r="A186" s="402"/>
      <c r="B186" s="403"/>
      <c r="C186" s="124" t="s">
        <v>36</v>
      </c>
      <c r="D186" s="385">
        <f>2200000*0.001</f>
        <v>2200</v>
      </c>
      <c r="E186" s="133">
        <f>G186*0.001</f>
        <v>2200</v>
      </c>
      <c r="F186" s="73">
        <f>E186-D186</f>
        <v>0</v>
      </c>
      <c r="G186" s="830">
        <f>H187</f>
        <v>2200000</v>
      </c>
      <c r="H186" s="830"/>
      <c r="I186" s="830"/>
      <c r="J186" s="830"/>
      <c r="K186" s="830"/>
      <c r="L186" s="830"/>
      <c r="M186" s="831"/>
      <c r="N186" s="453"/>
      <c r="O186" s="368"/>
      <c r="P186" s="368"/>
      <c r="Q186" s="368"/>
      <c r="R186" s="368"/>
      <c r="S186" s="368"/>
      <c r="T186" s="368"/>
      <c r="U186" s="368"/>
      <c r="V186" s="368"/>
      <c r="W186" s="368"/>
      <c r="X186" s="368"/>
      <c r="Y186" s="368"/>
      <c r="Z186" s="368"/>
      <c r="AA186" s="368"/>
      <c r="AB186" s="368"/>
    </row>
    <row r="187" spans="1:28" ht="17.649999999999999" customHeight="1" x14ac:dyDescent="0.3">
      <c r="A187" s="402"/>
      <c r="B187" s="403"/>
      <c r="C187" s="124"/>
      <c r="D187" s="385"/>
      <c r="E187" s="133"/>
      <c r="F187" s="73"/>
      <c r="G187" s="142" t="s">
        <v>37</v>
      </c>
      <c r="H187" s="807">
        <f>M188+M189</f>
        <v>2200000</v>
      </c>
      <c r="I187" s="807"/>
      <c r="J187" s="807"/>
      <c r="K187" s="807"/>
      <c r="L187" s="807"/>
      <c r="M187" s="808"/>
      <c r="N187" s="453"/>
      <c r="O187" s="368"/>
      <c r="P187" s="368"/>
      <c r="Q187" s="368"/>
      <c r="R187" s="368"/>
      <c r="S187" s="368"/>
      <c r="T187" s="368"/>
      <c r="U187" s="368"/>
      <c r="V187" s="368"/>
      <c r="W187" s="368"/>
      <c r="X187" s="368"/>
      <c r="Y187" s="368"/>
      <c r="Z187" s="368"/>
      <c r="AA187" s="368"/>
      <c r="AB187" s="368"/>
    </row>
    <row r="188" spans="1:28" ht="17.649999999999999" customHeight="1" x14ac:dyDescent="0.3">
      <c r="A188" s="402"/>
      <c r="B188" s="403"/>
      <c r="C188" s="124"/>
      <c r="D188" s="385"/>
      <c r="E188" s="133"/>
      <c r="F188" s="73"/>
      <c r="G188" s="539" t="s">
        <v>317</v>
      </c>
      <c r="H188" s="154">
        <v>1000000</v>
      </c>
      <c r="I188" s="150" t="s">
        <v>160</v>
      </c>
      <c r="J188" s="150">
        <v>2</v>
      </c>
      <c r="K188" s="150" t="s">
        <v>161</v>
      </c>
      <c r="L188" s="150" t="s">
        <v>164</v>
      </c>
      <c r="M188" s="424">
        <f>H188*J188</f>
        <v>2000000</v>
      </c>
      <c r="N188" s="453"/>
      <c r="O188" s="368"/>
      <c r="P188" s="368"/>
      <c r="Q188" s="368"/>
      <c r="R188" s="368"/>
      <c r="S188" s="368"/>
      <c r="T188" s="368"/>
      <c r="U188" s="368"/>
      <c r="V188" s="368"/>
      <c r="W188" s="368"/>
      <c r="X188" s="368"/>
      <c r="Y188" s="368"/>
      <c r="Z188" s="368"/>
      <c r="AA188" s="368"/>
      <c r="AB188" s="368"/>
    </row>
    <row r="189" spans="1:28" ht="17.649999999999999" customHeight="1" x14ac:dyDescent="0.3">
      <c r="A189" s="402"/>
      <c r="B189" s="403"/>
      <c r="C189" s="124"/>
      <c r="D189" s="385"/>
      <c r="E189" s="133"/>
      <c r="F189" s="73"/>
      <c r="G189" s="348" t="s">
        <v>318</v>
      </c>
      <c r="H189" s="154">
        <v>100000</v>
      </c>
      <c r="I189" s="264" t="s">
        <v>189</v>
      </c>
      <c r="J189" s="150">
        <v>2</v>
      </c>
      <c r="K189" s="150" t="s">
        <v>162</v>
      </c>
      <c r="L189" s="150" t="s">
        <v>164</v>
      </c>
      <c r="M189" s="424">
        <f>H189*J189</f>
        <v>200000</v>
      </c>
      <c r="N189" s="453"/>
      <c r="O189" s="368"/>
      <c r="P189" s="368"/>
      <c r="Q189" s="368"/>
      <c r="R189" s="368"/>
      <c r="S189" s="368"/>
      <c r="T189" s="368"/>
      <c r="U189" s="368"/>
      <c r="V189" s="368"/>
      <c r="W189" s="368"/>
      <c r="X189" s="368"/>
      <c r="Y189" s="368"/>
      <c r="Z189" s="368"/>
      <c r="AA189" s="368"/>
      <c r="AB189" s="368"/>
    </row>
    <row r="190" spans="1:28" ht="17.649999999999999" customHeight="1" x14ac:dyDescent="0.3">
      <c r="A190" s="402"/>
      <c r="B190" s="403"/>
      <c r="C190" s="124"/>
      <c r="D190" s="385"/>
      <c r="E190" s="133"/>
      <c r="F190" s="73"/>
      <c r="G190" s="790" t="s">
        <v>359</v>
      </c>
      <c r="H190" s="791"/>
      <c r="I190" s="791"/>
      <c r="J190" s="791"/>
      <c r="K190" s="791"/>
      <c r="L190" s="791"/>
      <c r="M190" s="792"/>
      <c r="N190" s="453"/>
      <c r="O190" s="368"/>
      <c r="P190" s="368"/>
      <c r="Q190" s="368"/>
      <c r="R190" s="368"/>
      <c r="S190" s="368"/>
      <c r="T190" s="368"/>
      <c r="U190" s="368"/>
      <c r="V190" s="368"/>
      <c r="W190" s="368"/>
      <c r="X190" s="368"/>
      <c r="Y190" s="368"/>
      <c r="Z190" s="368"/>
      <c r="AA190" s="368"/>
      <c r="AB190" s="368"/>
    </row>
    <row r="191" spans="1:28" ht="17.649999999999999" customHeight="1" x14ac:dyDescent="0.3">
      <c r="A191" s="356"/>
      <c r="B191" s="153"/>
      <c r="C191" s="357" t="s">
        <v>79</v>
      </c>
      <c r="D191" s="612">
        <f>5390350*0.001</f>
        <v>5390.35</v>
      </c>
      <c r="E191" s="353">
        <f>M191*0.001</f>
        <v>5285.64</v>
      </c>
      <c r="F191" s="245">
        <f>E191-D191</f>
        <v>-104.71000000000004</v>
      </c>
      <c r="G191" s="358" t="s">
        <v>78</v>
      </c>
      <c r="H191" s="364"/>
      <c r="I191" s="364"/>
      <c r="J191" s="364"/>
      <c r="K191" s="364"/>
      <c r="L191" s="364"/>
      <c r="M191" s="425">
        <f>M192</f>
        <v>5285640</v>
      </c>
      <c r="N191" s="500" t="s">
        <v>345</v>
      </c>
      <c r="O191" s="499" t="s">
        <v>346</v>
      </c>
      <c r="P191" s="368"/>
      <c r="Q191" s="368"/>
      <c r="R191" s="368"/>
      <c r="S191" s="368"/>
      <c r="T191" s="368"/>
      <c r="U191" s="368"/>
      <c r="V191" s="368"/>
      <c r="W191" s="368"/>
      <c r="X191" s="368"/>
      <c r="Y191" s="368"/>
      <c r="Z191" s="368"/>
      <c r="AA191" s="368"/>
      <c r="AB191" s="368"/>
    </row>
    <row r="192" spans="1:28" ht="17.649999999999999" customHeight="1" x14ac:dyDescent="0.3">
      <c r="A192" s="402"/>
      <c r="B192" s="403"/>
      <c r="C192" s="124"/>
      <c r="D192" s="385"/>
      <c r="E192" s="133"/>
      <c r="F192" s="73"/>
      <c r="G192" s="442" t="s">
        <v>124</v>
      </c>
      <c r="H192" s="324">
        <v>528564</v>
      </c>
      <c r="I192" s="325" t="s">
        <v>160</v>
      </c>
      <c r="J192" s="325">
        <v>10</v>
      </c>
      <c r="K192" s="325" t="s">
        <v>161</v>
      </c>
      <c r="L192" s="325" t="s">
        <v>164</v>
      </c>
      <c r="M192" s="446">
        <f>H192*J192</f>
        <v>5285640</v>
      </c>
      <c r="N192" s="453">
        <f>5285640-800000</f>
        <v>4485640</v>
      </c>
      <c r="O192" s="368">
        <v>800000</v>
      </c>
      <c r="P192" s="368"/>
      <c r="Q192" s="368"/>
      <c r="R192" s="368"/>
      <c r="S192" s="368"/>
      <c r="T192" s="368"/>
      <c r="U192" s="368"/>
      <c r="V192" s="368"/>
      <c r="W192" s="368"/>
      <c r="X192" s="368"/>
      <c r="Y192" s="368"/>
      <c r="Z192" s="368"/>
      <c r="AA192" s="368"/>
      <c r="AB192" s="368"/>
    </row>
    <row r="193" spans="1:28" ht="17.649999999999999" customHeight="1" x14ac:dyDescent="0.3">
      <c r="A193" s="402"/>
      <c r="B193" s="403"/>
      <c r="C193" s="124"/>
      <c r="D193" s="385"/>
      <c r="E193" s="133"/>
      <c r="F193" s="73"/>
      <c r="G193" s="443" t="s">
        <v>389</v>
      </c>
      <c r="H193" s="324"/>
      <c r="I193" s="325"/>
      <c r="J193" s="325"/>
      <c r="K193" s="325"/>
      <c r="L193" s="325"/>
      <c r="M193" s="446"/>
      <c r="N193" s="453"/>
      <c r="O193" s="368"/>
      <c r="P193" s="368"/>
      <c r="Q193" s="368"/>
      <c r="R193" s="368"/>
      <c r="S193" s="368"/>
      <c r="T193" s="368"/>
      <c r="U193" s="368"/>
      <c r="V193" s="368"/>
      <c r="W193" s="368"/>
      <c r="X193" s="368"/>
      <c r="Y193" s="368"/>
      <c r="Z193" s="368"/>
      <c r="AA193" s="368"/>
      <c r="AB193" s="368"/>
    </row>
    <row r="194" spans="1:28" ht="17.649999999999999" customHeight="1" x14ac:dyDescent="0.3">
      <c r="A194" s="402"/>
      <c r="B194" s="403"/>
      <c r="C194" s="124" t="s">
        <v>39</v>
      </c>
      <c r="D194" s="385">
        <f>1000000*0.001</f>
        <v>1000</v>
      </c>
      <c r="E194" s="133">
        <f>M194*0.001</f>
        <v>1000</v>
      </c>
      <c r="F194" s="73">
        <f>E194-D194</f>
        <v>0</v>
      </c>
      <c r="G194" s="209" t="s">
        <v>81</v>
      </c>
      <c r="H194" s="154"/>
      <c r="I194" s="150"/>
      <c r="J194" s="150"/>
      <c r="K194" s="150"/>
      <c r="L194" s="150"/>
      <c r="M194" s="426">
        <f>M195+M196</f>
        <v>1000000</v>
      </c>
      <c r="N194" s="453"/>
      <c r="O194" s="368"/>
      <c r="P194" s="368"/>
      <c r="Q194" s="368"/>
      <c r="R194" s="368"/>
      <c r="S194" s="368"/>
      <c r="T194" s="368"/>
      <c r="U194" s="368"/>
      <c r="V194" s="368"/>
      <c r="W194" s="368"/>
      <c r="X194" s="368"/>
      <c r="Y194" s="368"/>
      <c r="Z194" s="368"/>
      <c r="AA194" s="368"/>
      <c r="AB194" s="368"/>
    </row>
    <row r="195" spans="1:28" ht="17.649999999999999" customHeight="1" x14ac:dyDescent="0.3">
      <c r="A195" s="356"/>
      <c r="B195" s="153"/>
      <c r="C195" s="357"/>
      <c r="D195" s="388"/>
      <c r="E195" s="353"/>
      <c r="F195" s="245"/>
      <c r="G195" s="348" t="s">
        <v>221</v>
      </c>
      <c r="H195" s="400">
        <v>1000000</v>
      </c>
      <c r="I195" s="150" t="s">
        <v>160</v>
      </c>
      <c r="J195" s="150">
        <v>1</v>
      </c>
      <c r="K195" s="150" t="s">
        <v>161</v>
      </c>
      <c r="L195" s="150" t="s">
        <v>164</v>
      </c>
      <c r="M195" s="426">
        <f>H195*J195</f>
        <v>1000000</v>
      </c>
      <c r="N195" s="453"/>
      <c r="O195" s="368"/>
      <c r="P195" s="368"/>
      <c r="Q195" s="368"/>
      <c r="R195" s="368"/>
      <c r="S195" s="368"/>
      <c r="T195" s="368"/>
      <c r="U195" s="368"/>
      <c r="V195" s="368"/>
      <c r="W195" s="368"/>
      <c r="X195" s="368"/>
      <c r="Y195" s="368"/>
      <c r="Z195" s="368"/>
      <c r="AA195" s="368"/>
      <c r="AB195" s="368"/>
    </row>
    <row r="196" spans="1:28" ht="17.649999999999999" hidden="1" customHeight="1" x14ac:dyDescent="0.3">
      <c r="A196" s="356"/>
      <c r="B196" s="153"/>
      <c r="C196" s="357"/>
      <c r="D196" s="388"/>
      <c r="E196" s="353"/>
      <c r="F196" s="245"/>
      <c r="G196" s="348"/>
      <c r="H196" s="400"/>
      <c r="I196" s="150" t="s">
        <v>160</v>
      </c>
      <c r="J196" s="150">
        <v>1</v>
      </c>
      <c r="K196" s="150" t="s">
        <v>161</v>
      </c>
      <c r="L196" s="150" t="s">
        <v>164</v>
      </c>
      <c r="M196" s="426">
        <f>H196*J196</f>
        <v>0</v>
      </c>
      <c r="N196" s="453"/>
      <c r="O196" s="368"/>
      <c r="P196" s="368"/>
      <c r="Q196" s="368"/>
      <c r="R196" s="368"/>
      <c r="S196" s="368"/>
      <c r="T196" s="368"/>
      <c r="U196" s="368"/>
      <c r="V196" s="368"/>
      <c r="W196" s="368"/>
      <c r="X196" s="368"/>
      <c r="Y196" s="368"/>
      <c r="Z196" s="368"/>
      <c r="AA196" s="368"/>
      <c r="AB196" s="368"/>
    </row>
    <row r="197" spans="1:28" ht="17.649999999999999" customHeight="1" thickBot="1" x14ac:dyDescent="0.35">
      <c r="A197" s="32"/>
      <c r="B197" s="169"/>
      <c r="C197" s="273"/>
      <c r="D197" s="611"/>
      <c r="E197" s="137"/>
      <c r="F197" s="246"/>
      <c r="G197" s="761" t="s">
        <v>319</v>
      </c>
      <c r="H197" s="832"/>
      <c r="I197" s="832"/>
      <c r="J197" s="832"/>
      <c r="K197" s="832"/>
      <c r="L197" s="832"/>
      <c r="M197" s="833"/>
      <c r="N197" s="453"/>
      <c r="O197" s="368"/>
      <c r="P197" s="368"/>
      <c r="Q197" s="368"/>
      <c r="R197" s="368"/>
      <c r="S197" s="368"/>
      <c r="T197" s="368"/>
      <c r="U197" s="368"/>
      <c r="V197" s="368"/>
      <c r="W197" s="368"/>
      <c r="X197" s="368"/>
      <c r="Y197" s="368"/>
      <c r="Z197" s="368"/>
      <c r="AA197" s="368"/>
      <c r="AB197" s="368"/>
    </row>
    <row r="198" spans="1:28" ht="18.95" customHeight="1" x14ac:dyDescent="0.3">
      <c r="A198" s="230" t="s">
        <v>118</v>
      </c>
      <c r="B198" s="231"/>
      <c r="C198" s="232"/>
      <c r="D198" s="233"/>
      <c r="E198" s="202"/>
      <c r="F198" s="234"/>
      <c r="G198" s="235"/>
      <c r="H198" s="79"/>
      <c r="I198" s="79"/>
      <c r="J198" s="79"/>
      <c r="K198" s="79"/>
      <c r="L198" s="79"/>
      <c r="M198" s="236"/>
      <c r="N198" s="453"/>
      <c r="O198" s="368"/>
      <c r="P198" s="368"/>
      <c r="Q198" s="368"/>
      <c r="R198" s="368"/>
      <c r="S198" s="368"/>
      <c r="T198" s="368"/>
      <c r="U198" s="368"/>
      <c r="V198" s="368"/>
      <c r="W198" s="368"/>
      <c r="X198" s="368"/>
      <c r="Y198" s="368"/>
      <c r="Z198" s="368"/>
      <c r="AA198" s="368"/>
      <c r="AB198" s="368"/>
    </row>
    <row r="199" spans="1:28" ht="18.95" customHeight="1" thickBot="1" x14ac:dyDescent="0.35">
      <c r="A199" s="52"/>
      <c r="B199" s="126"/>
      <c r="C199" s="126"/>
      <c r="D199" s="126"/>
      <c r="E199" s="201"/>
      <c r="F199" s="127"/>
      <c r="G199" s="134"/>
      <c r="H199" s="126"/>
      <c r="I199" s="126"/>
      <c r="J199" s="126"/>
      <c r="K199" s="126"/>
      <c r="L199" s="126"/>
      <c r="M199" s="130" t="s">
        <v>26</v>
      </c>
      <c r="N199" s="453"/>
      <c r="O199" s="368"/>
      <c r="P199" s="368"/>
      <c r="Q199" s="368"/>
      <c r="R199" s="368"/>
      <c r="S199" s="368"/>
      <c r="T199" s="368"/>
      <c r="U199" s="368"/>
      <c r="V199" s="368"/>
      <c r="W199" s="368"/>
      <c r="X199" s="368"/>
      <c r="Y199" s="368"/>
      <c r="Z199" s="368"/>
      <c r="AA199" s="368"/>
      <c r="AB199" s="368"/>
    </row>
    <row r="200" spans="1:28" ht="18.95" customHeight="1" x14ac:dyDescent="0.3">
      <c r="A200" s="816" t="s">
        <v>82</v>
      </c>
      <c r="B200" s="817"/>
      <c r="C200" s="817" t="s">
        <v>163</v>
      </c>
      <c r="D200" s="751" t="s">
        <v>357</v>
      </c>
      <c r="E200" s="751" t="s">
        <v>361</v>
      </c>
      <c r="F200" s="753" t="s">
        <v>20</v>
      </c>
      <c r="G200" s="758" t="s">
        <v>2</v>
      </c>
      <c r="H200" s="758"/>
      <c r="I200" s="758"/>
      <c r="J200" s="758"/>
      <c r="K200" s="758"/>
      <c r="L200" s="758"/>
      <c r="M200" s="759"/>
      <c r="N200" s="453"/>
      <c r="O200" s="368"/>
      <c r="P200" s="368"/>
      <c r="Q200" s="368"/>
      <c r="R200" s="368"/>
      <c r="S200" s="368"/>
      <c r="T200" s="368"/>
      <c r="U200" s="368"/>
      <c r="V200" s="368"/>
      <c r="W200" s="368"/>
      <c r="X200" s="368"/>
      <c r="Y200" s="368"/>
      <c r="Z200" s="368"/>
      <c r="AA200" s="368"/>
      <c r="AB200" s="368"/>
    </row>
    <row r="201" spans="1:28" ht="18.95" customHeight="1" x14ac:dyDescent="0.3">
      <c r="A201" s="21" t="s">
        <v>155</v>
      </c>
      <c r="B201" s="207" t="s">
        <v>150</v>
      </c>
      <c r="C201" s="22" t="s">
        <v>163</v>
      </c>
      <c r="D201" s="752"/>
      <c r="E201" s="752"/>
      <c r="F201" s="754"/>
      <c r="G201" s="752"/>
      <c r="H201" s="752"/>
      <c r="I201" s="752"/>
      <c r="J201" s="752"/>
      <c r="K201" s="752"/>
      <c r="L201" s="752"/>
      <c r="M201" s="760"/>
      <c r="N201" s="453"/>
      <c r="O201" s="368"/>
      <c r="P201" s="368"/>
      <c r="Q201" s="368"/>
      <c r="R201" s="368"/>
      <c r="S201" s="368"/>
      <c r="T201" s="368"/>
      <c r="U201" s="368"/>
      <c r="V201" s="368"/>
      <c r="W201" s="368"/>
      <c r="X201" s="368"/>
      <c r="Y201" s="368"/>
      <c r="Z201" s="368"/>
      <c r="AA201" s="368"/>
      <c r="AB201" s="368"/>
    </row>
    <row r="202" spans="1:28" s="368" customFormat="1" ht="18" customHeight="1" x14ac:dyDescent="0.3">
      <c r="A202" s="384"/>
      <c r="B202" s="370"/>
      <c r="C202" s="332" t="s">
        <v>310</v>
      </c>
      <c r="D202" s="385">
        <f>16000000*0.001</f>
        <v>16000</v>
      </c>
      <c r="E202" s="385">
        <f>G202*0.001</f>
        <v>16000</v>
      </c>
      <c r="F202" s="373">
        <f>E202-D202</f>
        <v>0</v>
      </c>
      <c r="G202" s="787">
        <f>M203</f>
        <v>16000000</v>
      </c>
      <c r="H202" s="788"/>
      <c r="I202" s="788"/>
      <c r="J202" s="788"/>
      <c r="K202" s="788"/>
      <c r="L202" s="788"/>
      <c r="M202" s="789"/>
      <c r="N202" s="453"/>
    </row>
    <row r="203" spans="1:28" s="368" customFormat="1" ht="18" customHeight="1" x14ac:dyDescent="0.3">
      <c r="A203" s="386"/>
      <c r="B203" s="380"/>
      <c r="C203" s="387" t="s">
        <v>311</v>
      </c>
      <c r="D203" s="388"/>
      <c r="E203" s="388"/>
      <c r="F203" s="383"/>
      <c r="G203" s="358" t="s">
        <v>312</v>
      </c>
      <c r="H203" s="389"/>
      <c r="I203" s="390"/>
      <c r="J203" s="391"/>
      <c r="K203" s="392"/>
      <c r="L203" s="392"/>
      <c r="M203" s="393">
        <f>M204+M205</f>
        <v>16000000</v>
      </c>
      <c r="N203" s="453"/>
    </row>
    <row r="204" spans="1:28" s="368" customFormat="1" ht="18" customHeight="1" x14ac:dyDescent="0.3">
      <c r="A204" s="384"/>
      <c r="B204" s="370"/>
      <c r="C204" s="394"/>
      <c r="D204" s="385"/>
      <c r="E204" s="385"/>
      <c r="F204" s="373"/>
      <c r="G204" s="395" t="s">
        <v>219</v>
      </c>
      <c r="H204" s="331">
        <v>500000</v>
      </c>
      <c r="I204" s="347" t="s">
        <v>160</v>
      </c>
      <c r="J204" s="347">
        <v>30</v>
      </c>
      <c r="K204" s="347" t="s">
        <v>161</v>
      </c>
      <c r="L204" s="347" t="s">
        <v>164</v>
      </c>
      <c r="M204" s="396">
        <f>H204*J204</f>
        <v>15000000</v>
      </c>
      <c r="N204" s="453"/>
    </row>
    <row r="205" spans="1:28" s="368" customFormat="1" ht="18" customHeight="1" x14ac:dyDescent="0.3">
      <c r="A205" s="386"/>
      <c r="B205" s="380"/>
      <c r="C205" s="397"/>
      <c r="D205" s="388"/>
      <c r="E205" s="388"/>
      <c r="F205" s="383"/>
      <c r="G205" s="398" t="s">
        <v>220</v>
      </c>
      <c r="H205" s="389">
        <v>500000</v>
      </c>
      <c r="I205" s="390" t="s">
        <v>160</v>
      </c>
      <c r="J205" s="391">
        <v>2</v>
      </c>
      <c r="K205" s="392" t="s">
        <v>161</v>
      </c>
      <c r="L205" s="392" t="s">
        <v>164</v>
      </c>
      <c r="M205" s="399">
        <f>H205*J205</f>
        <v>1000000</v>
      </c>
      <c r="N205" s="453"/>
    </row>
    <row r="206" spans="1:28" s="368" customFormat="1" ht="18" customHeight="1" x14ac:dyDescent="0.3">
      <c r="A206" s="386"/>
      <c r="B206" s="380"/>
      <c r="C206" s="397"/>
      <c r="D206" s="388"/>
      <c r="E206" s="388"/>
      <c r="F206" s="383"/>
      <c r="G206" s="813" t="s">
        <v>360</v>
      </c>
      <c r="H206" s="814"/>
      <c r="I206" s="814"/>
      <c r="J206" s="814"/>
      <c r="K206" s="814"/>
      <c r="L206" s="814"/>
      <c r="M206" s="815"/>
      <c r="N206" s="453"/>
    </row>
    <row r="207" spans="1:28" s="212" customFormat="1" ht="18" customHeight="1" x14ac:dyDescent="0.3">
      <c r="A207" s="44" t="s">
        <v>185</v>
      </c>
      <c r="B207" s="45" t="s">
        <v>185</v>
      </c>
      <c r="C207" s="80"/>
      <c r="D207" s="574">
        <f>100000*0.001</f>
        <v>100</v>
      </c>
      <c r="E207" s="138">
        <f>E208</f>
        <v>100</v>
      </c>
      <c r="F207" s="214">
        <f>E207-D207</f>
        <v>0</v>
      </c>
      <c r="G207" s="812" t="s">
        <v>392</v>
      </c>
      <c r="H207" s="812"/>
      <c r="I207" s="812"/>
      <c r="J207" s="812"/>
      <c r="K207" s="812"/>
      <c r="L207" s="812"/>
      <c r="M207" s="417">
        <f>M208</f>
        <v>100000</v>
      </c>
      <c r="N207" s="461"/>
      <c r="O207" s="461"/>
      <c r="P207" s="461"/>
      <c r="Q207" s="461"/>
      <c r="R207" s="461"/>
      <c r="S207" s="461"/>
      <c r="T207" s="461"/>
      <c r="U207" s="461"/>
      <c r="V207" s="461"/>
      <c r="W207" s="461"/>
      <c r="X207" s="461"/>
      <c r="Y207" s="461"/>
      <c r="Z207" s="461"/>
      <c r="AA207" s="461"/>
      <c r="AB207" s="461"/>
    </row>
    <row r="208" spans="1:28" ht="18" customHeight="1" x14ac:dyDescent="0.3">
      <c r="A208" s="633"/>
      <c r="B208" s="634"/>
      <c r="C208" s="124" t="s">
        <v>176</v>
      </c>
      <c r="D208" s="375">
        <f>100000*0.001</f>
        <v>100</v>
      </c>
      <c r="E208" s="650">
        <f>M208*0.001</f>
        <v>100</v>
      </c>
      <c r="F208" s="651">
        <f>E208-D208</f>
        <v>0</v>
      </c>
      <c r="G208" s="652" t="s">
        <v>176</v>
      </c>
      <c r="H208" s="653">
        <v>50000</v>
      </c>
      <c r="I208" s="654" t="s">
        <v>160</v>
      </c>
      <c r="J208" s="325">
        <v>2</v>
      </c>
      <c r="K208" s="655" t="s">
        <v>161</v>
      </c>
      <c r="L208" s="655" t="s">
        <v>164</v>
      </c>
      <c r="M208" s="656">
        <f>H208*J208</f>
        <v>100000</v>
      </c>
      <c r="N208" s="453"/>
      <c r="O208" s="368"/>
      <c r="P208" s="368"/>
      <c r="Q208" s="368"/>
      <c r="R208" s="368"/>
      <c r="S208" s="368"/>
      <c r="T208" s="368"/>
      <c r="U208" s="368"/>
      <c r="V208" s="368"/>
      <c r="W208" s="368"/>
      <c r="X208" s="368"/>
      <c r="Y208" s="368"/>
      <c r="Z208" s="368"/>
      <c r="AA208" s="368"/>
      <c r="AB208" s="368"/>
    </row>
    <row r="209" spans="1:28" ht="18" customHeight="1" x14ac:dyDescent="0.3">
      <c r="A209" s="633"/>
      <c r="B209" s="634"/>
      <c r="C209" s="124"/>
      <c r="D209" s="650"/>
      <c r="E209" s="650"/>
      <c r="F209" s="651"/>
      <c r="G209" s="799" t="s">
        <v>392</v>
      </c>
      <c r="H209" s="800"/>
      <c r="I209" s="800"/>
      <c r="J209" s="800"/>
      <c r="K209" s="800"/>
      <c r="L209" s="800"/>
      <c r="M209" s="801"/>
      <c r="N209" s="453"/>
      <c r="O209" s="368"/>
      <c r="P209" s="368"/>
      <c r="Q209" s="368"/>
      <c r="R209" s="368"/>
      <c r="S209" s="368"/>
      <c r="T209" s="368"/>
      <c r="U209" s="368"/>
      <c r="V209" s="368"/>
      <c r="W209" s="368"/>
      <c r="X209" s="368"/>
      <c r="Y209" s="368"/>
      <c r="Z209" s="368"/>
      <c r="AA209" s="368"/>
      <c r="AB209" s="368"/>
    </row>
    <row r="210" spans="1:28" s="212" customFormat="1" ht="18" customHeight="1" x14ac:dyDescent="0.3">
      <c r="A210" s="44" t="s">
        <v>186</v>
      </c>
      <c r="B210" s="45" t="s">
        <v>186</v>
      </c>
      <c r="C210" s="80"/>
      <c r="D210" s="657">
        <f>2000000*0.001</f>
        <v>2000</v>
      </c>
      <c r="E210" s="658">
        <f>E211</f>
        <v>2000</v>
      </c>
      <c r="F210" s="659">
        <f t="shared" ref="F210:F216" si="31">E210-D210</f>
        <v>0</v>
      </c>
      <c r="G210" s="767" t="s">
        <v>216</v>
      </c>
      <c r="H210" s="768"/>
      <c r="I210" s="768"/>
      <c r="J210" s="768"/>
      <c r="K210" s="768"/>
      <c r="L210" s="768"/>
      <c r="M210" s="660">
        <f>M211</f>
        <v>2000000</v>
      </c>
      <c r="N210" s="461"/>
      <c r="O210" s="461"/>
      <c r="P210" s="461"/>
      <c r="Q210" s="461"/>
      <c r="R210" s="461"/>
      <c r="S210" s="461"/>
      <c r="T210" s="461"/>
      <c r="U210" s="461"/>
      <c r="V210" s="461"/>
      <c r="W210" s="461"/>
      <c r="X210" s="461"/>
      <c r="Y210" s="461"/>
      <c r="Z210" s="461"/>
      <c r="AA210" s="461"/>
      <c r="AB210" s="461"/>
    </row>
    <row r="211" spans="1:28" ht="18" customHeight="1" x14ac:dyDescent="0.3">
      <c r="A211" s="633"/>
      <c r="B211" s="634"/>
      <c r="C211" s="124" t="s">
        <v>178</v>
      </c>
      <c r="D211" s="331">
        <f>2000000*0.001</f>
        <v>2000</v>
      </c>
      <c r="E211" s="133">
        <f>M211*0.001</f>
        <v>2000</v>
      </c>
      <c r="F211" s="73">
        <f t="shared" si="31"/>
        <v>0</v>
      </c>
      <c r="G211" s="151" t="s">
        <v>178</v>
      </c>
      <c r="H211" s="334">
        <v>2000000</v>
      </c>
      <c r="I211" s="404" t="s">
        <v>160</v>
      </c>
      <c r="J211" s="150">
        <v>1</v>
      </c>
      <c r="K211" s="146" t="s">
        <v>161</v>
      </c>
      <c r="L211" s="146" t="s">
        <v>164</v>
      </c>
      <c r="M211" s="419">
        <f>H211*J211</f>
        <v>2000000</v>
      </c>
      <c r="N211" s="453"/>
      <c r="O211" s="452"/>
      <c r="P211" s="501"/>
      <c r="Q211" s="368"/>
      <c r="R211" s="368"/>
      <c r="S211" s="368"/>
      <c r="T211" s="368"/>
      <c r="U211" s="368"/>
      <c r="V211" s="368"/>
      <c r="W211" s="368"/>
      <c r="X211" s="368"/>
      <c r="Y211" s="368"/>
      <c r="Z211" s="368"/>
      <c r="AA211" s="368"/>
      <c r="AB211" s="368"/>
    </row>
    <row r="212" spans="1:28" ht="18" customHeight="1" x14ac:dyDescent="0.3">
      <c r="A212" s="44" t="s">
        <v>308</v>
      </c>
      <c r="B212" s="45" t="s">
        <v>308</v>
      </c>
      <c r="C212" s="80"/>
      <c r="D212" s="574">
        <f>40000000*0.001</f>
        <v>40000</v>
      </c>
      <c r="E212" s="138">
        <f>E213+E214</f>
        <v>20000</v>
      </c>
      <c r="F212" s="214">
        <f t="shared" si="31"/>
        <v>-20000</v>
      </c>
      <c r="G212" s="749" t="s">
        <v>391</v>
      </c>
      <c r="H212" s="750"/>
      <c r="I212" s="750"/>
      <c r="J212" s="750"/>
      <c r="K212" s="750"/>
      <c r="L212" s="750"/>
      <c r="M212" s="540">
        <f>M213+M214</f>
        <v>20000000</v>
      </c>
      <c r="N212" s="453"/>
      <c r="O212" s="368"/>
      <c r="P212" s="368"/>
      <c r="Q212" s="368"/>
      <c r="R212" s="368"/>
      <c r="S212" s="368"/>
      <c r="T212" s="368"/>
      <c r="U212" s="368"/>
      <c r="V212" s="368"/>
      <c r="W212" s="368"/>
      <c r="X212" s="368"/>
      <c r="Y212" s="368"/>
      <c r="Z212" s="368"/>
      <c r="AA212" s="368"/>
      <c r="AB212" s="368"/>
    </row>
    <row r="213" spans="1:28" ht="18" customHeight="1" x14ac:dyDescent="0.3">
      <c r="A213" s="633"/>
      <c r="B213" s="634"/>
      <c r="C213" s="332" t="s">
        <v>353</v>
      </c>
      <c r="D213" s="573">
        <f>10000000*0.001</f>
        <v>10000</v>
      </c>
      <c r="E213" s="133">
        <f>M213*0.001</f>
        <v>10000</v>
      </c>
      <c r="F213" s="73">
        <f t="shared" si="31"/>
        <v>0</v>
      </c>
      <c r="G213" s="333" t="s">
        <v>340</v>
      </c>
      <c r="H213" s="334">
        <v>10000000</v>
      </c>
      <c r="I213" s="404" t="s">
        <v>160</v>
      </c>
      <c r="J213" s="150">
        <v>1</v>
      </c>
      <c r="K213" s="146" t="s">
        <v>161</v>
      </c>
      <c r="L213" s="146" t="s">
        <v>164</v>
      </c>
      <c r="M213" s="419">
        <f>H213*J213</f>
        <v>10000000</v>
      </c>
      <c r="N213" s="602" t="s">
        <v>338</v>
      </c>
      <c r="O213" s="603" t="s">
        <v>339</v>
      </c>
      <c r="P213" s="499" t="s">
        <v>226</v>
      </c>
      <c r="Q213" s="368"/>
      <c r="R213" s="368"/>
      <c r="S213" s="368"/>
      <c r="T213" s="368"/>
      <c r="U213" s="368"/>
      <c r="V213" s="368"/>
      <c r="W213" s="368"/>
      <c r="X213" s="368"/>
      <c r="Y213" s="368"/>
      <c r="Z213" s="368"/>
      <c r="AA213" s="368"/>
      <c r="AB213" s="368"/>
    </row>
    <row r="214" spans="1:28" ht="18" customHeight="1" x14ac:dyDescent="0.3">
      <c r="A214" s="633"/>
      <c r="B214" s="634"/>
      <c r="C214" s="332" t="s">
        <v>390</v>
      </c>
      <c r="D214" s="573">
        <v>30000</v>
      </c>
      <c r="E214" s="133">
        <f>M214*0.001</f>
        <v>10000</v>
      </c>
      <c r="F214" s="73">
        <f t="shared" si="31"/>
        <v>-20000</v>
      </c>
      <c r="G214" s="333" t="s">
        <v>393</v>
      </c>
      <c r="H214" s="334">
        <v>10000000</v>
      </c>
      <c r="I214" s="404" t="s">
        <v>160</v>
      </c>
      <c r="J214" s="150">
        <v>1</v>
      </c>
      <c r="K214" s="146" t="s">
        <v>161</v>
      </c>
      <c r="L214" s="146" t="s">
        <v>164</v>
      </c>
      <c r="M214" s="419">
        <f>H214*J214</f>
        <v>10000000</v>
      </c>
      <c r="N214" s="602"/>
      <c r="O214" s="603"/>
      <c r="P214" s="499"/>
      <c r="Q214" s="368"/>
      <c r="R214" s="368"/>
      <c r="S214" s="368"/>
      <c r="T214" s="368"/>
      <c r="U214" s="368"/>
      <c r="V214" s="368"/>
      <c r="W214" s="368"/>
      <c r="X214" s="368"/>
      <c r="Y214" s="368"/>
      <c r="Z214" s="368"/>
      <c r="AA214" s="368"/>
      <c r="AB214" s="368"/>
    </row>
    <row r="215" spans="1:28" ht="18" customHeight="1" x14ac:dyDescent="0.3">
      <c r="A215" s="44" t="s">
        <v>190</v>
      </c>
      <c r="B215" s="45" t="s">
        <v>190</v>
      </c>
      <c r="C215" s="80"/>
      <c r="D215" s="574">
        <f>D216</f>
        <v>175366.44200000001</v>
      </c>
      <c r="E215" s="138">
        <f>E216</f>
        <v>186638.905</v>
      </c>
      <c r="F215" s="214">
        <f t="shared" si="31"/>
        <v>11272.462999999989</v>
      </c>
      <c r="G215" s="749" t="s">
        <v>394</v>
      </c>
      <c r="H215" s="750"/>
      <c r="I215" s="750"/>
      <c r="J215" s="750"/>
      <c r="K215" s="750"/>
      <c r="L215" s="750"/>
      <c r="M215" s="418">
        <f>M216</f>
        <v>186638905</v>
      </c>
      <c r="N215" s="453">
        <f>Q74</f>
        <v>151059391</v>
      </c>
      <c r="O215" s="452">
        <f>R74</f>
        <v>35579514</v>
      </c>
      <c r="P215" s="546">
        <f>SUM(N215:O215)</f>
        <v>186638905</v>
      </c>
      <c r="Q215" s="368"/>
      <c r="R215" s="368"/>
      <c r="S215" s="368"/>
      <c r="T215" s="368"/>
      <c r="U215" s="368"/>
      <c r="V215" s="368"/>
      <c r="W215" s="368"/>
      <c r="X215" s="368"/>
      <c r="Y215" s="368"/>
      <c r="Z215" s="368"/>
      <c r="AA215" s="368"/>
      <c r="AB215" s="368"/>
    </row>
    <row r="216" spans="1:28" ht="18" customHeight="1" x14ac:dyDescent="0.3">
      <c r="A216" s="633"/>
      <c r="B216" s="634"/>
      <c r="C216" s="332" t="s">
        <v>191</v>
      </c>
      <c r="D216" s="573">
        <f>175366442*0.001</f>
        <v>175366.44200000001</v>
      </c>
      <c r="E216" s="133">
        <f>M216*0.001</f>
        <v>186638.905</v>
      </c>
      <c r="F216" s="73">
        <f t="shared" si="31"/>
        <v>11272.462999999989</v>
      </c>
      <c r="G216" s="333" t="s">
        <v>191</v>
      </c>
      <c r="H216" s="334">
        <f>Q71+Q72+R71+Q70+R70+R72+Q73+R73</f>
        <v>186638905</v>
      </c>
      <c r="I216" s="404" t="s">
        <v>160</v>
      </c>
      <c r="J216" s="150">
        <v>1</v>
      </c>
      <c r="K216" s="146" t="s">
        <v>161</v>
      </c>
      <c r="L216" s="146" t="s">
        <v>164</v>
      </c>
      <c r="M216" s="419">
        <f>H216*J216</f>
        <v>186638905</v>
      </c>
      <c r="N216" s="453"/>
      <c r="O216" s="541"/>
      <c r="P216" s="486"/>
      <c r="Q216" s="486"/>
      <c r="R216" s="486"/>
      <c r="S216" s="368"/>
      <c r="T216" s="368"/>
      <c r="U216" s="368"/>
      <c r="V216" s="368"/>
      <c r="W216" s="368"/>
      <c r="X216" s="368"/>
      <c r="Y216" s="368"/>
      <c r="Z216" s="368"/>
      <c r="AA216" s="368"/>
      <c r="AB216" s="368"/>
    </row>
    <row r="217" spans="1:28" ht="18" customHeight="1" x14ac:dyDescent="0.3">
      <c r="A217" s="338"/>
      <c r="B217" s="260"/>
      <c r="C217" s="260"/>
      <c r="D217" s="335"/>
      <c r="E217" s="336"/>
      <c r="F217" s="337"/>
      <c r="G217" s="141"/>
      <c r="H217" s="150"/>
      <c r="I217" s="150"/>
      <c r="J217" s="150"/>
      <c r="K217" s="150"/>
      <c r="L217" s="150"/>
      <c r="M217" s="637"/>
      <c r="N217" s="453"/>
      <c r="O217" s="486"/>
      <c r="P217" s="486"/>
      <c r="Q217" s="486"/>
      <c r="R217" s="486"/>
      <c r="S217" s="368"/>
      <c r="T217" s="368"/>
      <c r="U217" s="368"/>
      <c r="V217" s="368"/>
      <c r="W217" s="368"/>
      <c r="X217" s="368"/>
      <c r="Y217" s="368"/>
      <c r="Z217" s="368"/>
      <c r="AA217" s="368"/>
      <c r="AB217" s="368"/>
    </row>
    <row r="218" spans="1:28" ht="18" customHeight="1" x14ac:dyDescent="0.3">
      <c r="A218" s="338"/>
      <c r="B218" s="260"/>
      <c r="C218" s="260"/>
      <c r="D218" s="335"/>
      <c r="E218" s="336"/>
      <c r="F218" s="337"/>
      <c r="G218" s="141"/>
      <c r="H218" s="150"/>
      <c r="I218" s="150"/>
      <c r="J218" s="150"/>
      <c r="K218" s="150"/>
      <c r="L218" s="150"/>
      <c r="M218" s="637"/>
      <c r="N218" s="500"/>
      <c r="O218" s="368"/>
      <c r="P218" s="368"/>
      <c r="Q218" s="368"/>
      <c r="R218" s="368"/>
      <c r="S218" s="368"/>
      <c r="T218" s="368"/>
      <c r="U218" s="368"/>
      <c r="V218" s="368"/>
      <c r="W218" s="368"/>
      <c r="X218" s="368"/>
      <c r="Y218" s="368"/>
      <c r="Z218" s="368"/>
      <c r="AA218" s="368"/>
      <c r="AB218" s="368"/>
    </row>
    <row r="219" spans="1:28" ht="18" customHeight="1" x14ac:dyDescent="0.3">
      <c r="A219" s="338"/>
      <c r="B219" s="260"/>
      <c r="C219" s="260"/>
      <c r="D219" s="335"/>
      <c r="E219" s="336"/>
      <c r="F219" s="337"/>
      <c r="G219" s="141"/>
      <c r="H219" s="150"/>
      <c r="I219" s="150"/>
      <c r="J219" s="150"/>
      <c r="K219" s="150"/>
      <c r="L219" s="150"/>
      <c r="M219" s="637"/>
      <c r="N219" s="500"/>
      <c r="O219" s="499"/>
      <c r="P219" s="368"/>
      <c r="Q219" s="368"/>
      <c r="R219" s="499"/>
      <c r="S219" s="499"/>
      <c r="T219" s="368"/>
      <c r="U219" s="368"/>
      <c r="V219" s="368"/>
      <c r="W219" s="368"/>
      <c r="X219" s="368"/>
      <c r="Y219" s="368"/>
      <c r="Z219" s="368"/>
      <c r="AA219" s="368"/>
      <c r="AB219" s="368"/>
    </row>
    <row r="220" spans="1:28" ht="18" customHeight="1" x14ac:dyDescent="0.3">
      <c r="A220" s="338"/>
      <c r="B220" s="260"/>
      <c r="C220" s="260"/>
      <c r="D220" s="335"/>
      <c r="E220" s="336"/>
      <c r="F220" s="337"/>
      <c r="G220" s="141"/>
      <c r="H220" s="150"/>
      <c r="I220" s="150"/>
      <c r="J220" s="150"/>
      <c r="K220" s="150"/>
      <c r="L220" s="150"/>
      <c r="M220" s="637"/>
      <c r="N220" s="453"/>
      <c r="O220" s="368"/>
      <c r="P220" s="499"/>
      <c r="Q220" s="368"/>
      <c r="R220" s="368"/>
      <c r="S220" s="368"/>
      <c r="T220" s="368"/>
      <c r="U220" s="368"/>
      <c r="V220" s="368"/>
      <c r="W220" s="368"/>
      <c r="X220" s="368"/>
      <c r="Y220" s="368"/>
      <c r="Z220" s="368"/>
      <c r="AA220" s="368"/>
      <c r="AB220" s="368"/>
    </row>
    <row r="221" spans="1:28" ht="18" customHeight="1" x14ac:dyDescent="0.3">
      <c r="A221" s="338"/>
      <c r="B221" s="260"/>
      <c r="C221" s="260"/>
      <c r="D221" s="335"/>
      <c r="E221" s="336"/>
      <c r="F221" s="337"/>
      <c r="G221" s="141"/>
      <c r="H221" s="150"/>
      <c r="I221" s="150"/>
      <c r="J221" s="150"/>
      <c r="K221" s="150"/>
      <c r="L221" s="150"/>
      <c r="M221" s="637"/>
      <c r="N221" s="453"/>
      <c r="O221" s="368"/>
      <c r="P221" s="499"/>
      <c r="Q221" s="368"/>
      <c r="R221" s="368"/>
      <c r="S221" s="368"/>
      <c r="T221" s="368"/>
      <c r="U221" s="368"/>
      <c r="V221" s="368"/>
      <c r="W221" s="368"/>
      <c r="X221" s="368"/>
      <c r="Y221" s="368"/>
      <c r="Z221" s="368"/>
      <c r="AA221" s="368"/>
      <c r="AB221" s="368"/>
    </row>
    <row r="222" spans="1:28" ht="18" customHeight="1" x14ac:dyDescent="0.3">
      <c r="A222" s="338"/>
      <c r="B222" s="260"/>
      <c r="C222" s="260"/>
      <c r="D222" s="335"/>
      <c r="E222" s="336"/>
      <c r="F222" s="337"/>
      <c r="G222" s="141"/>
      <c r="H222" s="150"/>
      <c r="I222" s="150"/>
      <c r="J222" s="150"/>
      <c r="K222" s="150"/>
      <c r="L222" s="150"/>
      <c r="M222" s="637"/>
      <c r="N222" s="453"/>
      <c r="O222" s="368"/>
      <c r="P222" s="499"/>
      <c r="Q222" s="368"/>
      <c r="R222" s="368"/>
      <c r="S222" s="368"/>
      <c r="T222" s="368"/>
      <c r="U222" s="368"/>
      <c r="V222" s="368"/>
      <c r="W222" s="368"/>
      <c r="X222" s="368"/>
      <c r="Y222" s="368"/>
      <c r="Z222" s="368"/>
      <c r="AA222" s="368"/>
      <c r="AB222" s="368"/>
    </row>
    <row r="223" spans="1:28" ht="18" customHeight="1" x14ac:dyDescent="0.3">
      <c r="A223" s="338"/>
      <c r="B223" s="260"/>
      <c r="C223" s="260"/>
      <c r="D223" s="335"/>
      <c r="E223" s="336"/>
      <c r="F223" s="337"/>
      <c r="G223" s="141"/>
      <c r="H223" s="150"/>
      <c r="I223" s="150"/>
      <c r="J223" s="150"/>
      <c r="K223" s="150"/>
      <c r="L223" s="150"/>
      <c r="M223" s="637"/>
      <c r="N223" s="453"/>
      <c r="O223" s="368"/>
      <c r="P223" s="499"/>
      <c r="Q223" s="368"/>
      <c r="R223" s="368"/>
      <c r="S223" s="368"/>
      <c r="T223" s="368"/>
      <c r="U223" s="368"/>
      <c r="V223" s="368"/>
      <c r="W223" s="368"/>
      <c r="X223" s="368"/>
      <c r="Y223" s="368"/>
      <c r="Z223" s="368"/>
      <c r="AA223" s="368"/>
      <c r="AB223" s="368"/>
    </row>
    <row r="224" spans="1:28" ht="18" customHeight="1" x14ac:dyDescent="0.3">
      <c r="A224" s="338"/>
      <c r="B224" s="260"/>
      <c r="C224" s="260"/>
      <c r="D224" s="335"/>
      <c r="E224" s="336"/>
      <c r="F224" s="260"/>
      <c r="G224" s="335"/>
      <c r="H224" s="336"/>
      <c r="I224" s="337"/>
      <c r="J224" s="141"/>
      <c r="K224" s="150"/>
      <c r="L224" s="150"/>
      <c r="M224" s="420"/>
      <c r="N224" s="453"/>
      <c r="O224" s="368"/>
      <c r="P224" s="546"/>
      <c r="Q224" s="499"/>
      <c r="R224" s="368"/>
      <c r="S224" s="368"/>
      <c r="T224" s="368"/>
      <c r="U224" s="368"/>
      <c r="V224" s="368"/>
      <c r="W224" s="368"/>
      <c r="X224" s="368"/>
      <c r="Y224" s="368"/>
      <c r="Z224" s="368"/>
      <c r="AA224" s="368"/>
      <c r="AB224" s="368"/>
    </row>
    <row r="225" spans="1:28" ht="18" customHeight="1" x14ac:dyDescent="0.3">
      <c r="A225" s="338"/>
      <c r="B225" s="260"/>
      <c r="C225" s="260"/>
      <c r="D225" s="260"/>
      <c r="E225" s="335"/>
      <c r="F225" s="260"/>
      <c r="G225" s="335"/>
      <c r="H225" s="336"/>
      <c r="I225" s="337"/>
      <c r="J225" s="141"/>
      <c r="K225" s="150"/>
      <c r="L225" s="150"/>
      <c r="M225" s="420"/>
      <c r="N225" s="453"/>
      <c r="O225" s="368"/>
      <c r="P225" s="499"/>
      <c r="Q225" s="368"/>
      <c r="R225" s="499"/>
      <c r="S225" s="368"/>
      <c r="T225" s="368"/>
      <c r="U225" s="499"/>
      <c r="V225" s="368"/>
      <c r="W225" s="368"/>
      <c r="X225" s="368"/>
      <c r="Y225" s="368"/>
      <c r="Z225" s="368"/>
      <c r="AA225" s="368"/>
      <c r="AB225" s="368"/>
    </row>
    <row r="226" spans="1:28" ht="18" customHeight="1" x14ac:dyDescent="0.3">
      <c r="A226" s="338"/>
      <c r="B226" s="260"/>
      <c r="C226" s="260"/>
      <c r="D226" s="260"/>
      <c r="E226" s="335"/>
      <c r="F226" s="260"/>
      <c r="G226" s="335"/>
      <c r="H226" s="336"/>
      <c r="I226" s="337"/>
      <c r="J226" s="141"/>
      <c r="K226" s="150"/>
      <c r="L226" s="150"/>
      <c r="M226" s="420"/>
      <c r="N226" s="502"/>
      <c r="O226" s="368"/>
      <c r="P226" s="547"/>
      <c r="Q226" s="499"/>
      <c r="R226" s="368"/>
      <c r="S226" s="368"/>
      <c r="T226" s="368"/>
      <c r="U226" s="461"/>
      <c r="V226" s="461"/>
      <c r="W226" s="461"/>
      <c r="X226" s="461"/>
      <c r="Y226" s="461"/>
      <c r="Z226" s="461"/>
      <c r="AA226" s="461"/>
      <c r="AB226" s="461"/>
    </row>
    <row r="227" spans="1:28" ht="18" customHeight="1" thickBot="1" x14ac:dyDescent="0.35">
      <c r="A227" s="338"/>
      <c r="B227" s="260"/>
      <c r="C227" s="260"/>
      <c r="D227" s="260"/>
      <c r="E227" s="335"/>
      <c r="F227" s="260"/>
      <c r="G227" s="335"/>
      <c r="H227" s="336"/>
      <c r="I227" s="337"/>
      <c r="J227" s="141"/>
      <c r="K227" s="150"/>
      <c r="L227" s="150"/>
      <c r="M227" s="420"/>
      <c r="N227" s="502"/>
      <c r="O227" s="461"/>
      <c r="P227" s="641"/>
      <c r="Q227" s="461"/>
      <c r="R227" s="461"/>
      <c r="S227" s="461"/>
      <c r="T227" s="461"/>
      <c r="U227" s="463"/>
      <c r="V227" s="463"/>
      <c r="W227" s="463"/>
      <c r="X227" s="463"/>
      <c r="Y227" s="463"/>
      <c r="Z227" s="463"/>
      <c r="AA227" s="463"/>
      <c r="AB227" s="463"/>
    </row>
    <row r="228" spans="1:28" ht="18" customHeight="1" x14ac:dyDescent="0.3">
      <c r="A228" s="338"/>
      <c r="B228" s="260"/>
      <c r="C228" s="260"/>
      <c r="D228" s="260"/>
      <c r="E228" s="335"/>
      <c r="F228" s="260"/>
      <c r="G228" s="335"/>
      <c r="H228" s="336"/>
      <c r="I228" s="337"/>
      <c r="J228" s="141"/>
      <c r="K228" s="150"/>
      <c r="L228" s="150"/>
      <c r="M228" s="420"/>
      <c r="N228" s="453"/>
      <c r="O228" s="463"/>
      <c r="P228" s="463"/>
      <c r="Q228" s="463"/>
      <c r="R228" s="463"/>
      <c r="S228" s="463"/>
      <c r="T228" s="463"/>
      <c r="U228" s="368"/>
      <c r="V228" s="368"/>
      <c r="W228" s="368"/>
      <c r="X228" s="368"/>
      <c r="Y228" s="368"/>
      <c r="Z228" s="368"/>
      <c r="AA228" s="368"/>
      <c r="AB228" s="368"/>
    </row>
    <row r="229" spans="1:28" ht="18" customHeight="1" x14ac:dyDescent="0.3">
      <c r="A229" s="338"/>
      <c r="B229" s="260"/>
      <c r="C229" s="260"/>
      <c r="D229" s="260"/>
      <c r="E229" s="335"/>
      <c r="F229" s="260"/>
      <c r="G229" s="335"/>
      <c r="H229" s="336"/>
      <c r="I229" s="337"/>
      <c r="J229" s="141"/>
      <c r="K229" s="150"/>
      <c r="L229" s="150"/>
      <c r="M229" s="420"/>
      <c r="N229" s="500"/>
      <c r="O229" s="368"/>
      <c r="P229" s="368"/>
      <c r="Q229" s="368"/>
      <c r="R229" s="368"/>
      <c r="S229" s="368"/>
      <c r="T229" s="368"/>
      <c r="U229" s="368"/>
      <c r="V229" s="368"/>
      <c r="W229" s="368"/>
      <c r="X229" s="368"/>
      <c r="Y229" s="368"/>
      <c r="Z229" s="368"/>
      <c r="AA229" s="368"/>
      <c r="AB229" s="368"/>
    </row>
    <row r="230" spans="1:28" ht="18" customHeight="1" x14ac:dyDescent="0.3">
      <c r="A230" s="338"/>
      <c r="B230" s="260"/>
      <c r="C230" s="260"/>
      <c r="D230" s="260"/>
      <c r="E230" s="335"/>
      <c r="F230" s="260"/>
      <c r="G230" s="335"/>
      <c r="H230" s="336"/>
      <c r="I230" s="337"/>
      <c r="J230" s="141"/>
      <c r="K230" s="150"/>
      <c r="L230" s="150"/>
      <c r="M230" s="420"/>
      <c r="N230" s="453"/>
      <c r="O230" s="368"/>
      <c r="P230" s="368"/>
      <c r="Q230" s="368"/>
      <c r="R230" s="368"/>
      <c r="S230" s="368"/>
      <c r="T230" s="368"/>
      <c r="U230" s="367"/>
      <c r="V230" s="367"/>
      <c r="W230" s="367"/>
      <c r="X230" s="367"/>
      <c r="Y230" s="367"/>
      <c r="Z230" s="367"/>
      <c r="AA230" s="367"/>
      <c r="AB230" s="367"/>
    </row>
    <row r="231" spans="1:28" ht="18" customHeight="1" x14ac:dyDescent="0.3">
      <c r="A231" s="338"/>
      <c r="B231" s="260"/>
      <c r="C231" s="260"/>
      <c r="D231" s="260"/>
      <c r="E231" s="335"/>
      <c r="F231" s="260"/>
      <c r="G231" s="335"/>
      <c r="H231" s="336"/>
      <c r="I231" s="337"/>
      <c r="J231" s="141"/>
      <c r="K231" s="150"/>
      <c r="L231" s="150"/>
      <c r="M231" s="420"/>
      <c r="N231" s="453"/>
      <c r="O231" s="367"/>
      <c r="P231" s="367"/>
      <c r="Q231" s="367"/>
      <c r="R231" s="367"/>
      <c r="S231" s="367"/>
      <c r="T231" s="367"/>
      <c r="U231" s="255"/>
      <c r="V231" s="255"/>
      <c r="W231" s="367"/>
      <c r="X231" s="367"/>
      <c r="Y231" s="367"/>
      <c r="Z231" s="367"/>
      <c r="AA231" s="367"/>
      <c r="AB231" s="367"/>
    </row>
    <row r="232" spans="1:28" ht="18" customHeight="1" x14ac:dyDescent="0.3">
      <c r="A232" s="338"/>
      <c r="B232" s="260"/>
      <c r="C232" s="260"/>
      <c r="D232" s="260"/>
      <c r="E232" s="335"/>
      <c r="F232" s="260"/>
      <c r="G232" s="335"/>
      <c r="H232" s="336"/>
      <c r="I232" s="337"/>
      <c r="J232" s="141"/>
      <c r="K232" s="150"/>
      <c r="L232" s="150"/>
      <c r="M232" s="420"/>
      <c r="N232" s="453"/>
      <c r="O232" s="255"/>
      <c r="P232" s="367"/>
      <c r="Q232" s="367"/>
      <c r="R232" s="367"/>
      <c r="S232" s="367"/>
      <c r="T232" s="367"/>
      <c r="U232" s="255"/>
      <c r="V232" s="255"/>
      <c r="W232" s="367"/>
      <c r="X232" s="367"/>
      <c r="Y232" s="367"/>
      <c r="Z232" s="367"/>
      <c r="AA232" s="367"/>
      <c r="AB232" s="367"/>
    </row>
    <row r="233" spans="1:28" ht="18" customHeight="1" thickBot="1" x14ac:dyDescent="0.35">
      <c r="A233" s="339"/>
      <c r="B233" s="340"/>
      <c r="C233" s="340"/>
      <c r="D233" s="340"/>
      <c r="E233" s="341"/>
      <c r="F233" s="340"/>
      <c r="G233" s="341"/>
      <c r="H233" s="342"/>
      <c r="I233" s="343"/>
      <c r="J233" s="344"/>
      <c r="K233" s="252"/>
      <c r="L233" s="252"/>
      <c r="M233" s="421"/>
      <c r="N233" s="453"/>
      <c r="O233" s="255"/>
      <c r="P233" s="367"/>
      <c r="Q233" s="367"/>
      <c r="R233" s="367"/>
      <c r="S233" s="367"/>
      <c r="T233" s="367"/>
      <c r="U233" s="255"/>
      <c r="V233" s="255"/>
      <c r="W233" s="367"/>
      <c r="X233" s="367"/>
      <c r="Y233" s="367"/>
      <c r="Z233" s="367"/>
      <c r="AA233" s="367"/>
      <c r="AB233" s="367"/>
    </row>
    <row r="234" spans="1:28" ht="18" customHeight="1" thickBot="1" x14ac:dyDescent="0.35">
      <c r="A234" s="642"/>
      <c r="B234" s="643"/>
      <c r="C234" s="643"/>
      <c r="D234" s="643"/>
      <c r="E234" s="644"/>
      <c r="F234" s="643"/>
      <c r="G234" s="644"/>
      <c r="H234" s="645"/>
      <c r="I234" s="646"/>
      <c r="J234" s="647"/>
      <c r="K234" s="648"/>
      <c r="L234" s="648"/>
      <c r="M234" s="649"/>
      <c r="N234" s="453"/>
      <c r="O234" s="367"/>
      <c r="P234" s="367"/>
      <c r="Q234" s="367"/>
      <c r="R234" s="367"/>
      <c r="S234" s="367"/>
      <c r="T234" s="367"/>
      <c r="U234" s="255"/>
      <c r="V234" s="255"/>
      <c r="W234" s="367"/>
      <c r="X234" s="367"/>
      <c r="Y234" s="367"/>
      <c r="Z234" s="367"/>
      <c r="AA234" s="367"/>
      <c r="AB234" s="367"/>
    </row>
    <row r="235" spans="1:28" ht="18" customHeight="1" x14ac:dyDescent="0.3">
      <c r="A235" s="409"/>
      <c r="B235" s="410"/>
      <c r="C235" s="410"/>
      <c r="D235" s="410"/>
      <c r="E235" s="411"/>
      <c r="F235" s="410"/>
      <c r="G235" s="411"/>
      <c r="H235" s="412"/>
      <c r="I235" s="413"/>
      <c r="J235" s="414"/>
      <c r="K235" s="415"/>
      <c r="L235" s="415"/>
      <c r="M235" s="629"/>
      <c r="N235" s="453"/>
      <c r="O235" s="367"/>
      <c r="P235" s="367"/>
      <c r="Q235" s="367"/>
      <c r="R235" s="367"/>
      <c r="S235" s="367"/>
      <c r="T235" s="367"/>
      <c r="U235" s="255"/>
      <c r="V235" s="255"/>
      <c r="W235" s="367"/>
      <c r="X235" s="367"/>
      <c r="Y235" s="367"/>
      <c r="Z235" s="367"/>
      <c r="AA235" s="367"/>
      <c r="AB235" s="367"/>
    </row>
    <row r="236" spans="1:28" ht="18" customHeight="1" thickBot="1" x14ac:dyDescent="0.35">
      <c r="A236" s="339"/>
      <c r="B236" s="340"/>
      <c r="C236" s="340"/>
      <c r="D236" s="340"/>
      <c r="E236" s="341"/>
      <c r="F236" s="340"/>
      <c r="G236" s="341"/>
      <c r="H236" s="342"/>
      <c r="I236" s="343"/>
      <c r="J236" s="344"/>
      <c r="K236" s="252"/>
      <c r="L236" s="252"/>
      <c r="M236" s="421"/>
      <c r="N236" s="453"/>
      <c r="O236" s="255"/>
      <c r="P236" s="367"/>
      <c r="Q236" s="367"/>
      <c r="R236" s="367"/>
      <c r="S236" s="367"/>
      <c r="T236" s="367"/>
      <c r="U236" s="255"/>
      <c r="V236" s="255"/>
      <c r="W236" s="367"/>
      <c r="X236" s="367"/>
      <c r="Y236" s="367"/>
      <c r="Z236" s="367"/>
      <c r="AA236" s="367"/>
      <c r="AB236" s="367"/>
    </row>
    <row r="237" spans="1:28" ht="18" customHeight="1" x14ac:dyDescent="0.3">
      <c r="A237" s="409"/>
      <c r="B237" s="410"/>
      <c r="C237" s="410"/>
      <c r="D237" s="410"/>
      <c r="E237" s="411"/>
      <c r="F237" s="410"/>
      <c r="G237" s="411"/>
      <c r="H237" s="412"/>
      <c r="I237" s="413"/>
      <c r="J237" s="414"/>
      <c r="K237" s="415"/>
      <c r="L237" s="415"/>
      <c r="M237" s="416"/>
      <c r="N237" s="453"/>
      <c r="O237" s="367"/>
      <c r="P237" s="367"/>
      <c r="Q237" s="367"/>
      <c r="R237" s="367"/>
      <c r="S237" s="367"/>
      <c r="T237" s="367"/>
      <c r="U237" s="255"/>
      <c r="V237" s="255"/>
      <c r="W237" s="367"/>
      <c r="X237" s="367"/>
      <c r="Y237" s="367"/>
      <c r="Z237" s="367"/>
      <c r="AA237" s="367"/>
      <c r="AB237" s="367"/>
    </row>
    <row r="238" spans="1:28" ht="18" customHeight="1" x14ac:dyDescent="0.3">
      <c r="A238" s="338"/>
      <c r="B238" s="260"/>
      <c r="C238" s="260"/>
      <c r="D238" s="260"/>
      <c r="E238" s="335"/>
      <c r="F238" s="260"/>
      <c r="G238" s="335"/>
      <c r="H238" s="336"/>
      <c r="I238" s="337"/>
      <c r="J238" s="141"/>
      <c r="K238" s="150"/>
      <c r="L238" s="150"/>
      <c r="M238" s="365"/>
      <c r="N238" s="453"/>
      <c r="O238" s="367"/>
      <c r="P238" s="367"/>
      <c r="Q238" s="367"/>
      <c r="R238" s="367"/>
      <c r="S238" s="367"/>
      <c r="T238" s="367"/>
      <c r="U238" s="255"/>
      <c r="V238" s="255"/>
      <c r="W238" s="367"/>
      <c r="X238" s="367"/>
      <c r="Y238" s="367"/>
      <c r="Z238" s="367"/>
      <c r="AA238" s="367"/>
      <c r="AB238" s="367"/>
    </row>
    <row r="239" spans="1:28" ht="18" customHeight="1" x14ac:dyDescent="0.3">
      <c r="A239" s="338"/>
      <c r="B239" s="260"/>
      <c r="C239" s="260"/>
      <c r="D239" s="260"/>
      <c r="E239" s="335"/>
      <c r="F239" s="260"/>
      <c r="G239" s="335"/>
      <c r="H239" s="336"/>
      <c r="I239" s="337"/>
      <c r="J239" s="141"/>
      <c r="K239" s="150"/>
      <c r="L239" s="150"/>
      <c r="M239" s="365"/>
      <c r="N239" s="453"/>
      <c r="O239" s="367"/>
      <c r="P239" s="367"/>
      <c r="Q239" s="367"/>
      <c r="R239" s="367"/>
      <c r="S239" s="367"/>
      <c r="T239" s="367"/>
      <c r="U239" s="255"/>
      <c r="V239" s="255"/>
      <c r="W239" s="367"/>
      <c r="X239" s="367"/>
      <c r="Y239" s="367"/>
      <c r="Z239" s="367"/>
      <c r="AA239" s="367"/>
      <c r="AB239" s="367"/>
    </row>
    <row r="240" spans="1:28" ht="18" customHeight="1" x14ac:dyDescent="0.3">
      <c r="A240" s="338"/>
      <c r="B240" s="260"/>
      <c r="C240" s="260"/>
      <c r="D240" s="260"/>
      <c r="E240" s="335"/>
      <c r="F240" s="260"/>
      <c r="G240" s="335"/>
      <c r="H240" s="336"/>
      <c r="I240" s="337"/>
      <c r="J240" s="141"/>
      <c r="K240" s="150"/>
      <c r="L240" s="150"/>
      <c r="M240" s="365"/>
      <c r="N240" s="453"/>
      <c r="O240" s="255"/>
      <c r="P240" s="367"/>
      <c r="Q240" s="367"/>
      <c r="R240" s="367"/>
      <c r="S240" s="367"/>
      <c r="T240" s="367"/>
      <c r="U240" s="255"/>
      <c r="V240" s="255"/>
      <c r="W240" s="367"/>
      <c r="X240" s="367"/>
      <c r="Y240" s="367"/>
      <c r="Z240" s="367"/>
      <c r="AA240" s="367"/>
      <c r="AB240" s="367"/>
    </row>
    <row r="241" spans="1:28" ht="18" customHeight="1" thickBot="1" x14ac:dyDescent="0.35">
      <c r="A241" s="339"/>
      <c r="B241" s="340"/>
      <c r="C241" s="340"/>
      <c r="D241" s="340"/>
      <c r="E241" s="341"/>
      <c r="F241" s="340"/>
      <c r="G241" s="341"/>
      <c r="H241" s="342"/>
      <c r="I241" s="343"/>
      <c r="J241" s="344"/>
      <c r="K241" s="252"/>
      <c r="L241" s="252"/>
      <c r="M241" s="366"/>
      <c r="N241" s="453"/>
      <c r="O241" s="255"/>
      <c r="P241" s="367"/>
      <c r="Q241" s="367"/>
      <c r="R241" s="367"/>
      <c r="S241" s="367"/>
      <c r="T241" s="367"/>
      <c r="U241" s="255"/>
      <c r="V241" s="255"/>
      <c r="W241" s="367"/>
      <c r="X241" s="367"/>
      <c r="Y241" s="367"/>
      <c r="Z241" s="367"/>
      <c r="AA241" s="367"/>
      <c r="AB241" s="367"/>
    </row>
    <row r="242" spans="1:28" ht="18.95" customHeight="1" x14ac:dyDescent="0.3">
      <c r="C242" s="20"/>
      <c r="D242" s="20"/>
      <c r="E242" s="47"/>
      <c r="F242" s="20"/>
      <c r="G242" s="47"/>
      <c r="H242" s="206"/>
      <c r="I242" s="53"/>
      <c r="J242" s="152"/>
      <c r="K242" s="77"/>
      <c r="L242" s="77"/>
      <c r="M242" s="77"/>
      <c r="N242" s="453"/>
      <c r="O242" s="255"/>
      <c r="P242" s="367"/>
      <c r="Q242" s="367"/>
      <c r="R242" s="367"/>
      <c r="S242" s="367"/>
      <c r="T242" s="367"/>
      <c r="U242" s="255"/>
      <c r="V242" s="255"/>
      <c r="W242" s="367"/>
      <c r="X242" s="367"/>
      <c r="Y242" s="367"/>
      <c r="Z242" s="367"/>
      <c r="AA242" s="367"/>
      <c r="AB242" s="367"/>
    </row>
    <row r="243" spans="1:28" ht="18.95" customHeight="1" x14ac:dyDescent="0.3">
      <c r="C243" s="20"/>
      <c r="D243" s="20"/>
      <c r="E243" s="47"/>
      <c r="F243" s="20"/>
      <c r="G243" s="47"/>
      <c r="H243" s="206"/>
      <c r="I243" s="53"/>
      <c r="J243" s="152"/>
      <c r="K243" s="77"/>
      <c r="L243" s="77"/>
      <c r="M243" s="77"/>
      <c r="N243" s="453"/>
      <c r="O243" s="255"/>
      <c r="P243" s="367"/>
      <c r="Q243" s="367"/>
      <c r="R243" s="367"/>
      <c r="S243" s="367"/>
      <c r="T243" s="367"/>
      <c r="U243" s="256"/>
      <c r="V243" s="256"/>
      <c r="W243" s="466"/>
      <c r="X243" s="466"/>
      <c r="Y243" s="466"/>
      <c r="Z243" s="466"/>
      <c r="AA243" s="466"/>
      <c r="AB243" s="466"/>
    </row>
    <row r="244" spans="1:28" ht="18.95" customHeight="1" x14ac:dyDescent="0.3">
      <c r="C244" s="20"/>
      <c r="D244" s="20"/>
      <c r="E244" s="47"/>
      <c r="F244" s="20"/>
      <c r="G244" s="47"/>
      <c r="H244" s="206"/>
      <c r="I244" s="53"/>
      <c r="J244" s="152"/>
      <c r="K244" s="77"/>
      <c r="L244" s="77"/>
      <c r="M244" s="77"/>
      <c r="N244" s="502"/>
      <c r="O244" s="256"/>
      <c r="P244" s="466"/>
      <c r="Q244" s="466"/>
      <c r="R244" s="466"/>
      <c r="S244" s="466"/>
      <c r="T244" s="466"/>
      <c r="U244" s="257"/>
      <c r="V244" s="257"/>
      <c r="W244" s="461"/>
      <c r="X244" s="461"/>
      <c r="Y244" s="461"/>
      <c r="Z244" s="461"/>
      <c r="AA244" s="461"/>
      <c r="AB244" s="461"/>
    </row>
    <row r="245" spans="1:28" ht="18.95" customHeight="1" x14ac:dyDescent="0.3">
      <c r="C245" s="20"/>
      <c r="D245" s="20"/>
      <c r="E245" s="47"/>
      <c r="F245" s="206"/>
      <c r="G245" s="53"/>
      <c r="H245" s="152"/>
      <c r="I245" s="77"/>
      <c r="J245" s="77"/>
      <c r="K245" s="77"/>
      <c r="N245" s="453"/>
      <c r="O245" s="257"/>
      <c r="P245" s="461"/>
      <c r="Q245" s="461"/>
      <c r="R245" s="461"/>
      <c r="S245" s="461"/>
      <c r="T245" s="461"/>
      <c r="U245" s="503"/>
      <c r="V245" s="503"/>
      <c r="W245" s="368"/>
      <c r="X245" s="368"/>
      <c r="Y245" s="368"/>
      <c r="Z245" s="368"/>
      <c r="AA245" s="368"/>
      <c r="AB245" s="368"/>
    </row>
    <row r="246" spans="1:28" ht="18.95" customHeight="1" x14ac:dyDescent="0.3">
      <c r="C246" s="20"/>
      <c r="D246" s="47"/>
      <c r="E246" s="206"/>
      <c r="G246" s="152"/>
      <c r="N246" s="453"/>
      <c r="O246" s="503"/>
      <c r="P246" s="368"/>
      <c r="Q246" s="368"/>
      <c r="R246" s="368"/>
      <c r="S246" s="368"/>
      <c r="T246" s="368"/>
      <c r="U246" s="368"/>
      <c r="V246" s="368"/>
      <c r="W246" s="368"/>
      <c r="X246" s="472"/>
      <c r="Y246" s="472"/>
      <c r="Z246" s="472"/>
      <c r="AA246" s="472"/>
      <c r="AB246" s="472"/>
    </row>
    <row r="247" spans="1:28" ht="18.95" customHeight="1" x14ac:dyDescent="0.3">
      <c r="C247" s="20"/>
      <c r="D247" s="47"/>
      <c r="E247" s="206"/>
      <c r="G247" s="152"/>
      <c r="N247" s="453"/>
      <c r="O247" s="368"/>
      <c r="P247" s="368"/>
      <c r="Q247" s="368"/>
      <c r="R247" s="368"/>
      <c r="S247" s="368"/>
      <c r="T247" s="368"/>
      <c r="U247" s="368"/>
      <c r="V247" s="368"/>
      <c r="W247" s="368"/>
      <c r="X247" s="368"/>
      <c r="Y247" s="368"/>
      <c r="Z247" s="368"/>
      <c r="AA247" s="368"/>
      <c r="AB247" s="368"/>
    </row>
    <row r="248" spans="1:28" ht="18.95" customHeight="1" x14ac:dyDescent="0.3">
      <c r="C248" s="20"/>
      <c r="D248" s="47"/>
      <c r="E248" s="206"/>
      <c r="G248" s="152"/>
      <c r="N248" s="453"/>
      <c r="O248" s="368"/>
      <c r="P248" s="368"/>
      <c r="Q248" s="368"/>
      <c r="R248" s="461"/>
      <c r="S248" s="461"/>
      <c r="T248" s="461"/>
      <c r="U248" s="461"/>
      <c r="V248" s="461"/>
      <c r="W248" s="461"/>
      <c r="X248" s="368"/>
      <c r="Y248" s="368"/>
      <c r="Z248" s="368"/>
      <c r="AA248" s="368"/>
      <c r="AB248" s="368"/>
    </row>
    <row r="249" spans="1:28" ht="18.95" customHeight="1" x14ac:dyDescent="0.3">
      <c r="C249" s="20"/>
      <c r="D249" s="47"/>
      <c r="E249" s="206"/>
      <c r="G249" s="152"/>
      <c r="M249" s="20"/>
      <c r="N249" s="368"/>
      <c r="O249" s="368"/>
      <c r="P249" s="368"/>
      <c r="Q249" s="368"/>
      <c r="R249" s="463"/>
      <c r="S249" s="463"/>
      <c r="T249" s="463"/>
      <c r="U249" s="463"/>
      <c r="V249" s="463"/>
      <c r="W249" s="463"/>
      <c r="X249" s="368"/>
      <c r="Y249" s="368"/>
      <c r="Z249" s="368"/>
      <c r="AA249" s="368"/>
      <c r="AB249" s="368"/>
    </row>
    <row r="250" spans="1:28" ht="18.95" customHeight="1" x14ac:dyDescent="0.3">
      <c r="C250" s="20"/>
      <c r="D250" s="47"/>
      <c r="E250" s="206"/>
      <c r="G250" s="152"/>
      <c r="M250" s="20"/>
      <c r="N250" s="368"/>
      <c r="O250" s="368"/>
      <c r="P250" s="368"/>
      <c r="Q250" s="368"/>
      <c r="R250" s="368"/>
      <c r="S250" s="368"/>
      <c r="T250" s="368"/>
      <c r="U250" s="368"/>
      <c r="V250" s="368"/>
      <c r="W250" s="368"/>
      <c r="X250" s="466"/>
      <c r="Y250" s="466"/>
      <c r="Z250" s="466"/>
      <c r="AA250" s="466"/>
      <c r="AB250" s="466"/>
    </row>
    <row r="251" spans="1:28" ht="18.95" customHeight="1" x14ac:dyDescent="0.3">
      <c r="C251" s="20"/>
      <c r="D251" s="47"/>
      <c r="E251" s="206"/>
      <c r="G251" s="152"/>
      <c r="M251" s="211"/>
      <c r="N251" s="461"/>
      <c r="O251" s="461"/>
      <c r="P251" s="461"/>
      <c r="Q251" s="461"/>
      <c r="R251" s="368"/>
      <c r="S251" s="368"/>
      <c r="T251" s="368"/>
      <c r="U251" s="368"/>
      <c r="V251" s="368"/>
      <c r="W251" s="368"/>
      <c r="X251" s="466"/>
      <c r="Y251" s="466"/>
      <c r="Z251" s="466"/>
      <c r="AA251" s="466"/>
      <c r="AB251" s="466"/>
    </row>
    <row r="252" spans="1:28" ht="18.95" customHeight="1" x14ac:dyDescent="0.3">
      <c r="C252" s="20"/>
      <c r="D252" s="47"/>
      <c r="E252" s="206"/>
      <c r="G252" s="152"/>
      <c r="M252" s="220"/>
      <c r="N252" s="463"/>
      <c r="O252" s="463"/>
      <c r="P252" s="463"/>
      <c r="Q252" s="463"/>
      <c r="R252" s="367"/>
      <c r="S252" s="367"/>
      <c r="T252" s="367"/>
      <c r="U252" s="367"/>
      <c r="V252" s="367"/>
      <c r="W252" s="367"/>
      <c r="X252" s="482"/>
      <c r="Y252" s="482"/>
      <c r="Z252" s="482"/>
      <c r="AA252" s="482"/>
      <c r="AB252" s="482"/>
    </row>
    <row r="253" spans="1:28" ht="18.95" customHeight="1" x14ac:dyDescent="0.3">
      <c r="C253" s="20"/>
      <c r="D253" s="47"/>
      <c r="E253" s="206"/>
      <c r="G253" s="152"/>
      <c r="M253" s="20"/>
      <c r="N253" s="368"/>
      <c r="O253" s="368"/>
      <c r="P253" s="368"/>
      <c r="Q253" s="368"/>
      <c r="R253" s="255"/>
      <c r="S253" s="367"/>
      <c r="T253" s="367"/>
      <c r="U253" s="367"/>
      <c r="V253" s="367"/>
      <c r="W253" s="367"/>
      <c r="X253" s="466"/>
      <c r="Y253" s="466"/>
      <c r="Z253" s="466"/>
      <c r="AA253" s="466"/>
      <c r="AB253" s="466"/>
    </row>
    <row r="254" spans="1:28" ht="18.95" customHeight="1" x14ac:dyDescent="0.3">
      <c r="C254" s="20"/>
      <c r="D254" s="47"/>
      <c r="E254" s="206"/>
      <c r="G254" s="152"/>
      <c r="M254" s="20"/>
      <c r="N254" s="368"/>
      <c r="O254" s="368"/>
      <c r="P254" s="368"/>
      <c r="Q254" s="368"/>
      <c r="R254" s="255"/>
      <c r="S254" s="367"/>
      <c r="T254" s="367"/>
      <c r="U254" s="367"/>
      <c r="V254" s="367"/>
      <c r="W254" s="367"/>
      <c r="X254" s="466"/>
      <c r="Y254" s="466"/>
      <c r="Z254" s="466"/>
      <c r="AA254" s="466"/>
      <c r="AB254" s="466"/>
    </row>
    <row r="255" spans="1:28" ht="18.95" customHeight="1" x14ac:dyDescent="0.3">
      <c r="C255" s="20"/>
      <c r="D255" s="47"/>
      <c r="E255" s="206"/>
      <c r="G255" s="152"/>
      <c r="M255" s="76"/>
      <c r="N255" s="367"/>
      <c r="O255" s="367"/>
      <c r="P255" s="367"/>
      <c r="Q255" s="367"/>
      <c r="R255" s="255"/>
      <c r="S255" s="367"/>
      <c r="T255" s="367"/>
      <c r="U255" s="367"/>
      <c r="V255" s="367"/>
      <c r="W255" s="367"/>
      <c r="X255" s="466"/>
      <c r="Y255" s="466"/>
      <c r="Z255" s="466"/>
      <c r="AA255" s="466"/>
      <c r="AB255" s="466"/>
    </row>
    <row r="256" spans="1:28" ht="18.95" customHeight="1" x14ac:dyDescent="0.3">
      <c r="C256" s="20"/>
      <c r="D256" s="47"/>
      <c r="E256" s="206"/>
      <c r="G256" s="152"/>
      <c r="M256" s="255"/>
      <c r="N256" s="367"/>
      <c r="O256" s="367"/>
      <c r="P256" s="368"/>
      <c r="Q256" s="368"/>
      <c r="R256" s="368"/>
      <c r="S256" s="368"/>
      <c r="T256" s="368"/>
      <c r="U256" s="368"/>
      <c r="V256" s="367"/>
      <c r="W256" s="367"/>
      <c r="X256" s="466"/>
      <c r="Y256" s="466"/>
      <c r="Z256" s="466"/>
      <c r="AA256" s="466"/>
      <c r="AB256" s="466"/>
    </row>
    <row r="257" spans="3:28" ht="18.95" customHeight="1" x14ac:dyDescent="0.3">
      <c r="C257" s="20"/>
      <c r="D257" s="47"/>
      <c r="E257" s="206"/>
      <c r="G257" s="152"/>
      <c r="M257" s="255"/>
      <c r="N257" s="367"/>
      <c r="O257" s="367"/>
      <c r="P257" s="368"/>
      <c r="Q257" s="368"/>
      <c r="R257" s="368"/>
      <c r="S257" s="368"/>
      <c r="T257" s="368"/>
      <c r="U257" s="368"/>
      <c r="V257" s="368"/>
      <c r="W257" s="368"/>
      <c r="X257" s="368"/>
      <c r="Y257" s="368"/>
      <c r="Z257" s="482"/>
      <c r="AA257" s="482"/>
      <c r="AB257" s="482"/>
    </row>
    <row r="258" spans="3:28" ht="18.95" customHeight="1" x14ac:dyDescent="0.3">
      <c r="C258" s="20"/>
      <c r="D258" s="47"/>
      <c r="E258" s="206"/>
      <c r="G258" s="152"/>
      <c r="M258" s="255"/>
      <c r="N258" s="367"/>
      <c r="O258" s="367"/>
      <c r="P258" s="461"/>
      <c r="Q258" s="461"/>
      <c r="R258" s="461"/>
      <c r="S258" s="461"/>
      <c r="T258" s="368"/>
      <c r="U258" s="368"/>
      <c r="V258" s="368"/>
      <c r="W258" s="368"/>
      <c r="X258" s="368"/>
      <c r="Y258" s="368"/>
      <c r="Z258" s="466"/>
      <c r="AA258" s="466"/>
      <c r="AB258" s="466"/>
    </row>
    <row r="259" spans="3:28" ht="18.95" customHeight="1" x14ac:dyDescent="0.3">
      <c r="C259" s="20"/>
      <c r="D259" s="47"/>
      <c r="E259" s="206"/>
      <c r="G259" s="152"/>
      <c r="M259" s="255"/>
      <c r="N259" s="367"/>
      <c r="O259" s="367"/>
      <c r="P259" s="463"/>
      <c r="Q259" s="463"/>
      <c r="R259" s="463"/>
      <c r="S259" s="463"/>
      <c r="T259" s="461"/>
      <c r="U259" s="461"/>
      <c r="V259" s="461"/>
      <c r="W259" s="461"/>
      <c r="X259" s="461"/>
      <c r="Y259" s="461"/>
      <c r="Z259" s="466"/>
      <c r="AA259" s="466"/>
      <c r="AB259" s="466"/>
    </row>
    <row r="260" spans="3:28" ht="18.95" customHeight="1" x14ac:dyDescent="0.3">
      <c r="C260" s="20"/>
      <c r="D260" s="47"/>
      <c r="E260" s="206"/>
      <c r="G260" s="152"/>
      <c r="M260" s="256"/>
      <c r="N260" s="466"/>
      <c r="O260" s="466"/>
      <c r="P260" s="368"/>
      <c r="Q260" s="368"/>
      <c r="R260" s="368"/>
      <c r="S260" s="368"/>
      <c r="T260" s="463"/>
      <c r="U260" s="463"/>
      <c r="V260" s="463"/>
      <c r="W260" s="463"/>
      <c r="X260" s="463"/>
      <c r="Y260" s="463"/>
      <c r="Z260" s="367"/>
      <c r="AA260" s="367"/>
      <c r="AB260" s="367"/>
    </row>
    <row r="261" spans="3:28" ht="18.95" customHeight="1" x14ac:dyDescent="0.3">
      <c r="C261" s="20"/>
      <c r="D261" s="47"/>
      <c r="E261" s="206"/>
      <c r="G261" s="152"/>
      <c r="M261" s="257"/>
      <c r="N261" s="461"/>
      <c r="O261" s="461"/>
      <c r="P261" s="368"/>
      <c r="Q261" s="368"/>
      <c r="R261" s="368"/>
      <c r="S261" s="368"/>
      <c r="T261" s="368"/>
      <c r="U261" s="368"/>
      <c r="V261" s="368"/>
      <c r="W261" s="368"/>
      <c r="X261" s="368"/>
      <c r="Y261" s="368"/>
      <c r="Z261" s="367"/>
      <c r="AA261" s="367"/>
      <c r="AB261" s="367"/>
    </row>
    <row r="262" spans="3:28" ht="18.95" customHeight="1" x14ac:dyDescent="0.3">
      <c r="C262" s="20"/>
      <c r="D262" s="47"/>
      <c r="E262" s="206"/>
      <c r="G262" s="152"/>
      <c r="M262" s="258"/>
      <c r="N262" s="368"/>
      <c r="O262" s="368"/>
      <c r="P262" s="368"/>
      <c r="Q262" s="368"/>
      <c r="R262" s="368"/>
      <c r="S262" s="368"/>
      <c r="T262" s="368"/>
      <c r="U262" s="368"/>
      <c r="V262" s="368"/>
      <c r="W262" s="368"/>
      <c r="X262" s="368"/>
      <c r="Y262" s="368"/>
      <c r="Z262" s="367"/>
      <c r="AA262" s="367"/>
      <c r="AB262" s="367"/>
    </row>
    <row r="263" spans="3:28" ht="18.95" customHeight="1" x14ac:dyDescent="0.3">
      <c r="C263" s="20"/>
      <c r="D263" s="47"/>
      <c r="E263" s="206"/>
      <c r="G263" s="152"/>
      <c r="N263" s="368"/>
      <c r="O263" s="368"/>
      <c r="P263" s="368"/>
      <c r="Q263" s="368"/>
      <c r="R263" s="368"/>
      <c r="S263" s="368"/>
      <c r="T263" s="368"/>
      <c r="U263" s="368"/>
      <c r="V263" s="368"/>
      <c r="W263" s="368"/>
      <c r="X263" s="368"/>
      <c r="Y263" s="368"/>
      <c r="Z263" s="368"/>
      <c r="AA263" s="368"/>
      <c r="AB263" s="368"/>
    </row>
    <row r="264" spans="3:28" ht="18.95" customHeight="1" x14ac:dyDescent="0.3">
      <c r="C264" s="20"/>
      <c r="D264" s="47"/>
      <c r="E264" s="206"/>
      <c r="G264" s="152"/>
      <c r="N264" s="368"/>
      <c r="O264" s="368"/>
      <c r="P264" s="368"/>
      <c r="Q264" s="368"/>
      <c r="R264" s="368"/>
      <c r="S264" s="368"/>
      <c r="T264" s="368"/>
      <c r="U264" s="368"/>
      <c r="V264" s="368"/>
      <c r="W264" s="368"/>
      <c r="X264" s="368"/>
      <c r="Y264" s="368"/>
      <c r="Z264" s="368"/>
      <c r="AA264" s="368"/>
      <c r="AB264" s="368"/>
    </row>
    <row r="265" spans="3:28" ht="18.95" customHeight="1" x14ac:dyDescent="0.3">
      <c r="C265" s="20"/>
      <c r="D265" s="47"/>
      <c r="E265" s="206"/>
      <c r="G265" s="152"/>
      <c r="N265" s="368"/>
      <c r="O265" s="368"/>
      <c r="P265" s="368"/>
      <c r="Q265" s="368"/>
      <c r="R265" s="368"/>
      <c r="S265" s="368"/>
      <c r="T265" s="368"/>
      <c r="U265" s="368"/>
      <c r="V265" s="368"/>
      <c r="W265" s="368"/>
      <c r="X265" s="368"/>
      <c r="Y265" s="368"/>
      <c r="Z265" s="368"/>
      <c r="AA265" s="368"/>
      <c r="AB265" s="368"/>
    </row>
    <row r="266" spans="3:28" ht="18.95" customHeight="1" x14ac:dyDescent="0.3">
      <c r="C266" s="20"/>
      <c r="D266" s="47"/>
      <c r="E266" s="206"/>
      <c r="G266" s="152"/>
      <c r="N266" s="368"/>
      <c r="O266" s="368"/>
      <c r="P266" s="368"/>
      <c r="Q266" s="368"/>
      <c r="R266" s="368"/>
      <c r="S266" s="368"/>
      <c r="T266" s="368"/>
      <c r="U266" s="368"/>
      <c r="V266" s="368"/>
      <c r="W266" s="368"/>
      <c r="X266" s="368"/>
      <c r="Y266" s="368"/>
      <c r="Z266" s="368"/>
      <c r="AA266" s="368"/>
      <c r="AB266" s="368"/>
    </row>
    <row r="267" spans="3:28" ht="18.95" customHeight="1" x14ac:dyDescent="0.3">
      <c r="C267" s="20"/>
      <c r="D267" s="47"/>
      <c r="E267" s="206"/>
      <c r="G267" s="152"/>
      <c r="N267" s="368"/>
      <c r="O267" s="368"/>
      <c r="P267" s="368"/>
      <c r="Q267" s="368"/>
      <c r="R267" s="368"/>
      <c r="S267" s="368"/>
      <c r="T267" s="368"/>
      <c r="U267" s="368"/>
      <c r="V267" s="368"/>
      <c r="W267" s="368"/>
      <c r="X267" s="368"/>
      <c r="Y267" s="368"/>
      <c r="Z267" s="368"/>
      <c r="AA267" s="368"/>
      <c r="AB267" s="368"/>
    </row>
    <row r="268" spans="3:28" ht="18.95" customHeight="1" x14ac:dyDescent="0.3">
      <c r="C268" s="20"/>
      <c r="D268" s="47"/>
      <c r="E268" s="206"/>
      <c r="G268" s="152"/>
      <c r="N268" s="368"/>
      <c r="O268" s="368"/>
      <c r="P268" s="368"/>
      <c r="Q268" s="368"/>
      <c r="R268" s="368"/>
      <c r="S268" s="368"/>
      <c r="T268" s="368"/>
      <c r="U268" s="368"/>
      <c r="V268" s="368"/>
      <c r="W268" s="368"/>
      <c r="X268" s="368"/>
      <c r="Y268" s="368"/>
      <c r="Z268" s="368"/>
      <c r="AA268" s="368"/>
      <c r="AB268" s="368"/>
    </row>
    <row r="269" spans="3:28" ht="18.95" customHeight="1" x14ac:dyDescent="0.3">
      <c r="C269" s="20"/>
      <c r="D269" s="47"/>
      <c r="E269" s="206"/>
      <c r="G269" s="152"/>
      <c r="N269" s="368"/>
      <c r="O269" s="368"/>
      <c r="P269" s="368"/>
      <c r="Q269" s="368"/>
      <c r="R269" s="368"/>
      <c r="S269" s="368"/>
      <c r="T269" s="368"/>
      <c r="U269" s="368"/>
      <c r="V269" s="368"/>
      <c r="W269" s="368"/>
      <c r="X269" s="368"/>
      <c r="Y269" s="368"/>
      <c r="Z269" s="368"/>
      <c r="AA269" s="368"/>
      <c r="AB269" s="368"/>
    </row>
    <row r="270" spans="3:28" ht="18.95" customHeight="1" x14ac:dyDescent="0.3">
      <c r="C270" s="20"/>
      <c r="D270" s="47"/>
      <c r="E270" s="206"/>
      <c r="G270" s="152"/>
      <c r="N270" s="368"/>
      <c r="O270" s="368"/>
      <c r="P270" s="368"/>
      <c r="Q270" s="368"/>
      <c r="R270" s="368"/>
      <c r="S270" s="368"/>
      <c r="T270" s="368"/>
      <c r="U270" s="368"/>
      <c r="V270" s="368"/>
      <c r="W270" s="368"/>
      <c r="X270" s="368"/>
      <c r="Y270" s="368"/>
      <c r="Z270" s="368"/>
      <c r="AA270" s="368"/>
      <c r="AB270" s="368"/>
    </row>
    <row r="271" spans="3:28" ht="18.95" customHeight="1" x14ac:dyDescent="0.3">
      <c r="C271" s="20"/>
      <c r="D271" s="47"/>
      <c r="E271" s="206"/>
      <c r="G271" s="152"/>
      <c r="N271" s="368"/>
      <c r="O271" s="368"/>
      <c r="P271" s="368"/>
      <c r="Q271" s="368"/>
      <c r="R271" s="368"/>
      <c r="S271" s="368"/>
      <c r="T271" s="368"/>
      <c r="U271" s="368"/>
      <c r="V271" s="368"/>
      <c r="W271" s="368"/>
      <c r="X271" s="368"/>
      <c r="Y271" s="368"/>
      <c r="Z271" s="368"/>
      <c r="AA271" s="368"/>
      <c r="AB271" s="368"/>
    </row>
    <row r="272" spans="3:28" ht="18.95" customHeight="1" x14ac:dyDescent="0.3">
      <c r="C272" s="20"/>
      <c r="D272" s="47"/>
      <c r="E272" s="206"/>
      <c r="G272" s="152"/>
      <c r="N272" s="368"/>
      <c r="O272" s="368"/>
      <c r="P272" s="368"/>
      <c r="Q272" s="368"/>
      <c r="R272" s="368"/>
      <c r="S272" s="368"/>
      <c r="T272" s="368"/>
      <c r="U272" s="368"/>
      <c r="V272" s="368"/>
      <c r="W272" s="368"/>
      <c r="X272" s="368"/>
      <c r="Y272" s="368"/>
      <c r="Z272" s="368"/>
      <c r="AA272" s="368"/>
      <c r="AB272" s="368"/>
    </row>
    <row r="273" spans="3:28" ht="18.95" customHeight="1" x14ac:dyDescent="0.3">
      <c r="C273" s="20"/>
      <c r="D273" s="47"/>
      <c r="E273" s="206"/>
      <c r="G273" s="152"/>
      <c r="N273" s="368"/>
      <c r="O273" s="368"/>
      <c r="P273" s="368"/>
      <c r="Q273" s="368"/>
      <c r="R273" s="368"/>
      <c r="S273" s="368"/>
      <c r="T273" s="368"/>
      <c r="U273" s="368"/>
      <c r="V273" s="368"/>
      <c r="W273" s="368"/>
      <c r="X273" s="368"/>
      <c r="Y273" s="368"/>
      <c r="Z273" s="368"/>
      <c r="AA273" s="368"/>
      <c r="AB273" s="368"/>
    </row>
    <row r="274" spans="3:28" ht="18.95" customHeight="1" x14ac:dyDescent="0.3">
      <c r="C274" s="20"/>
      <c r="D274" s="47"/>
      <c r="E274" s="206"/>
      <c r="G274" s="152"/>
      <c r="N274" s="368"/>
      <c r="O274" s="368"/>
      <c r="P274" s="368"/>
      <c r="Q274" s="368"/>
      <c r="R274" s="368"/>
      <c r="S274" s="368"/>
      <c r="T274" s="368"/>
      <c r="U274" s="368"/>
      <c r="V274" s="368"/>
      <c r="W274" s="368"/>
      <c r="X274" s="368"/>
      <c r="Y274" s="368"/>
      <c r="Z274" s="368"/>
      <c r="AA274" s="368"/>
      <c r="AB274" s="368"/>
    </row>
    <row r="275" spans="3:28" ht="18.95" customHeight="1" x14ac:dyDescent="0.3">
      <c r="C275" s="20"/>
      <c r="D275" s="47"/>
      <c r="E275" s="206"/>
      <c r="G275" s="152"/>
      <c r="M275" s="20"/>
      <c r="N275" s="368"/>
      <c r="O275" s="368"/>
      <c r="P275" s="368"/>
      <c r="Q275" s="368"/>
      <c r="R275" s="368"/>
      <c r="S275" s="368"/>
      <c r="T275" s="368"/>
      <c r="U275" s="368"/>
      <c r="V275" s="368"/>
      <c r="W275" s="368"/>
      <c r="X275" s="368"/>
      <c r="Y275" s="368"/>
      <c r="Z275" s="368"/>
      <c r="AA275" s="368"/>
      <c r="AB275" s="368"/>
    </row>
    <row r="276" spans="3:28" ht="18.95" customHeight="1" x14ac:dyDescent="0.3">
      <c r="C276" s="20"/>
      <c r="D276" s="47"/>
      <c r="E276" s="206"/>
      <c r="G276" s="152"/>
      <c r="M276" s="20"/>
      <c r="N276" s="368"/>
      <c r="O276" s="368"/>
      <c r="P276" s="368"/>
      <c r="Q276" s="368"/>
      <c r="R276" s="368"/>
      <c r="S276" s="368"/>
      <c r="T276" s="368"/>
      <c r="U276" s="368"/>
      <c r="V276" s="368"/>
      <c r="W276" s="368"/>
      <c r="X276" s="368"/>
      <c r="Y276" s="368"/>
      <c r="Z276" s="368"/>
      <c r="AA276" s="368"/>
      <c r="AB276" s="368"/>
    </row>
    <row r="277" spans="3:28" ht="18.95" customHeight="1" x14ac:dyDescent="0.3">
      <c r="C277" s="20"/>
      <c r="D277" s="47"/>
      <c r="E277" s="206"/>
      <c r="G277" s="152"/>
      <c r="M277" s="211"/>
      <c r="N277" s="368"/>
      <c r="O277" s="368"/>
      <c r="P277" s="368"/>
      <c r="Q277" s="368"/>
      <c r="R277" s="368"/>
      <c r="S277" s="368"/>
      <c r="T277" s="368"/>
      <c r="U277" s="368"/>
      <c r="V277" s="368"/>
      <c r="W277" s="368"/>
      <c r="X277" s="368"/>
      <c r="Y277" s="368"/>
      <c r="Z277" s="368"/>
      <c r="AA277" s="368"/>
      <c r="AB277" s="368"/>
    </row>
    <row r="278" spans="3:28" ht="18.95" customHeight="1" x14ac:dyDescent="0.3">
      <c r="C278" s="20"/>
      <c r="D278" s="47"/>
      <c r="E278" s="206"/>
      <c r="G278" s="152"/>
      <c r="M278" s="220"/>
      <c r="N278" s="368"/>
      <c r="O278" s="368"/>
      <c r="P278" s="368"/>
      <c r="Q278" s="368"/>
      <c r="R278" s="368"/>
      <c r="S278" s="368"/>
      <c r="T278" s="368"/>
      <c r="U278" s="368"/>
      <c r="V278" s="368"/>
      <c r="W278" s="368"/>
      <c r="X278" s="368"/>
      <c r="Y278" s="368"/>
      <c r="Z278" s="368"/>
      <c r="AA278" s="368"/>
      <c r="AB278" s="368"/>
    </row>
    <row r="279" spans="3:28" ht="18.95" customHeight="1" x14ac:dyDescent="0.3">
      <c r="C279" s="20"/>
      <c r="D279" s="47"/>
      <c r="E279" s="206"/>
      <c r="G279" s="152"/>
      <c r="M279" s="20"/>
      <c r="N279" s="368"/>
      <c r="O279" s="368"/>
      <c r="P279" s="368"/>
      <c r="Q279" s="368"/>
      <c r="R279" s="368"/>
      <c r="S279" s="368"/>
      <c r="T279" s="368"/>
      <c r="U279" s="368"/>
      <c r="V279" s="368"/>
      <c r="W279" s="368"/>
      <c r="X279" s="368"/>
      <c r="Y279" s="368"/>
      <c r="Z279" s="368"/>
      <c r="AA279" s="368"/>
      <c r="AB279" s="368"/>
    </row>
    <row r="280" spans="3:28" ht="18.95" customHeight="1" x14ac:dyDescent="0.3">
      <c r="C280" s="20"/>
      <c r="D280" s="47"/>
      <c r="E280" s="206"/>
      <c r="G280" s="152"/>
      <c r="M280" s="20"/>
      <c r="N280" s="368"/>
      <c r="O280" s="368"/>
      <c r="P280" s="368"/>
      <c r="Q280" s="368"/>
      <c r="R280" s="368"/>
      <c r="S280" s="368"/>
      <c r="T280" s="368"/>
      <c r="U280" s="368"/>
      <c r="V280" s="368"/>
      <c r="W280" s="368"/>
      <c r="X280" s="368"/>
      <c r="Y280" s="368"/>
      <c r="Z280" s="368"/>
      <c r="AA280" s="368"/>
      <c r="AB280" s="368"/>
    </row>
    <row r="281" spans="3:28" ht="18.95" customHeight="1" x14ac:dyDescent="0.3">
      <c r="C281" s="20"/>
      <c r="D281" s="47"/>
      <c r="E281" s="206"/>
      <c r="G281" s="152"/>
      <c r="M281" s="76"/>
      <c r="N281" s="368"/>
      <c r="O281" s="368"/>
      <c r="P281" s="368"/>
      <c r="Q281" s="368"/>
      <c r="R281" s="368"/>
      <c r="S281" s="368"/>
      <c r="T281" s="368"/>
      <c r="U281" s="368"/>
      <c r="V281" s="368"/>
      <c r="W281" s="368"/>
      <c r="X281" s="368"/>
      <c r="Y281" s="368"/>
      <c r="Z281" s="368"/>
      <c r="AA281" s="368"/>
      <c r="AB281" s="368"/>
    </row>
    <row r="282" spans="3:28" ht="18.95" customHeight="1" x14ac:dyDescent="0.3">
      <c r="C282" s="20"/>
      <c r="D282" s="47"/>
      <c r="E282" s="206"/>
      <c r="G282" s="152"/>
      <c r="M282" s="255"/>
      <c r="N282" s="368"/>
      <c r="O282" s="368"/>
      <c r="P282" s="368"/>
      <c r="Q282" s="368"/>
      <c r="R282" s="368"/>
      <c r="S282" s="368"/>
      <c r="T282" s="368"/>
      <c r="U282" s="368"/>
      <c r="V282" s="368"/>
      <c r="W282" s="368"/>
      <c r="X282" s="368"/>
      <c r="Y282" s="368"/>
      <c r="Z282" s="368"/>
      <c r="AA282" s="368"/>
      <c r="AB282" s="368"/>
    </row>
    <row r="283" spans="3:28" ht="18.95" customHeight="1" x14ac:dyDescent="0.3">
      <c r="C283" s="20"/>
      <c r="D283" s="47"/>
      <c r="E283" s="206"/>
      <c r="G283" s="152"/>
      <c r="M283" s="255"/>
      <c r="N283" s="368"/>
      <c r="O283" s="368"/>
      <c r="P283" s="368"/>
      <c r="Q283" s="368"/>
      <c r="R283" s="368"/>
      <c r="S283" s="368"/>
      <c r="T283" s="368"/>
      <c r="U283" s="368"/>
      <c r="V283" s="368"/>
      <c r="W283" s="368"/>
      <c r="X283" s="368"/>
      <c r="Y283" s="368"/>
      <c r="Z283" s="368"/>
      <c r="AA283" s="368"/>
      <c r="AB283" s="368"/>
    </row>
    <row r="284" spans="3:28" ht="18.95" customHeight="1" x14ac:dyDescent="0.3">
      <c r="C284" s="20"/>
      <c r="D284" s="47"/>
      <c r="E284" s="206"/>
      <c r="G284" s="152"/>
      <c r="M284" s="255"/>
      <c r="N284" s="368"/>
      <c r="O284" s="368"/>
      <c r="P284" s="368"/>
      <c r="Q284" s="368"/>
      <c r="R284" s="368"/>
      <c r="S284" s="368"/>
      <c r="T284" s="368"/>
      <c r="U284" s="368"/>
      <c r="V284" s="368"/>
      <c r="W284" s="368"/>
      <c r="X284" s="368"/>
      <c r="Y284" s="368"/>
      <c r="Z284" s="368"/>
      <c r="AA284" s="368"/>
      <c r="AB284" s="368"/>
    </row>
    <row r="285" spans="3:28" ht="18.95" customHeight="1" x14ac:dyDescent="0.3">
      <c r="C285" s="20"/>
      <c r="D285" s="47"/>
      <c r="E285" s="206"/>
      <c r="G285" s="152"/>
      <c r="M285" s="255"/>
      <c r="N285" s="368"/>
      <c r="O285" s="368"/>
      <c r="P285" s="368"/>
      <c r="Q285" s="368"/>
      <c r="R285" s="368"/>
      <c r="S285" s="368"/>
      <c r="T285" s="368"/>
      <c r="U285" s="368"/>
      <c r="V285" s="368"/>
      <c r="W285" s="368"/>
      <c r="X285" s="368"/>
      <c r="Y285" s="368"/>
      <c r="Z285" s="368"/>
      <c r="AA285" s="368"/>
      <c r="AB285" s="368"/>
    </row>
    <row r="286" spans="3:28" ht="18.95" customHeight="1" x14ac:dyDescent="0.3">
      <c r="C286" s="20"/>
      <c r="D286" s="47"/>
      <c r="E286" s="206"/>
      <c r="G286" s="152"/>
      <c r="M286" s="256"/>
      <c r="N286" s="368"/>
      <c r="O286" s="368"/>
      <c r="P286" s="368"/>
      <c r="Q286" s="368"/>
      <c r="R286" s="368"/>
      <c r="S286" s="368"/>
      <c r="T286" s="368"/>
      <c r="U286" s="368"/>
      <c r="V286" s="368"/>
      <c r="W286" s="368"/>
      <c r="X286" s="368"/>
      <c r="Y286" s="368"/>
      <c r="Z286" s="368"/>
      <c r="AA286" s="368"/>
      <c r="AB286" s="368"/>
    </row>
    <row r="287" spans="3:28" ht="18.95" customHeight="1" x14ac:dyDescent="0.3">
      <c r="C287" s="20"/>
      <c r="D287" s="47"/>
      <c r="E287" s="206"/>
      <c r="G287" s="152"/>
      <c r="M287" s="257"/>
      <c r="N287" s="368"/>
      <c r="O287" s="368"/>
      <c r="P287" s="368"/>
      <c r="Q287" s="368"/>
      <c r="R287" s="368"/>
      <c r="S287" s="368"/>
      <c r="T287" s="368"/>
      <c r="U287" s="368"/>
      <c r="V287" s="368"/>
      <c r="W287" s="368"/>
      <c r="X287" s="368"/>
      <c r="Y287" s="368"/>
      <c r="Z287" s="368"/>
      <c r="AA287" s="368"/>
      <c r="AB287" s="368"/>
    </row>
    <row r="288" spans="3:28" ht="18.95" customHeight="1" x14ac:dyDescent="0.3">
      <c r="C288" s="20"/>
      <c r="D288" s="47"/>
      <c r="E288" s="206"/>
      <c r="G288" s="152"/>
      <c r="M288" s="258"/>
      <c r="N288" s="368"/>
      <c r="O288" s="368"/>
      <c r="P288" s="368"/>
      <c r="Q288" s="368"/>
      <c r="R288" s="368"/>
      <c r="S288" s="368"/>
      <c r="T288" s="368"/>
      <c r="U288" s="368"/>
      <c r="V288" s="368"/>
      <c r="W288" s="368"/>
      <c r="X288" s="368"/>
      <c r="Y288" s="368"/>
      <c r="Z288" s="368"/>
      <c r="AA288" s="368"/>
      <c r="AB288" s="368"/>
    </row>
    <row r="289" spans="3:28" ht="18.95" customHeight="1" x14ac:dyDescent="0.3">
      <c r="C289" s="20"/>
      <c r="D289" s="47"/>
      <c r="E289" s="206"/>
      <c r="G289" s="152"/>
      <c r="N289" s="368"/>
      <c r="O289" s="368"/>
      <c r="P289" s="368"/>
      <c r="Q289" s="368"/>
      <c r="R289" s="368"/>
      <c r="S289" s="368"/>
      <c r="T289" s="368"/>
      <c r="U289" s="368"/>
      <c r="V289" s="368"/>
      <c r="W289" s="368"/>
      <c r="X289" s="368"/>
      <c r="Y289" s="368"/>
      <c r="Z289" s="368"/>
      <c r="AA289" s="368"/>
      <c r="AB289" s="368"/>
    </row>
    <row r="290" spans="3:28" ht="18.95" customHeight="1" x14ac:dyDescent="0.3">
      <c r="C290" s="20"/>
      <c r="D290" s="47"/>
      <c r="E290" s="206"/>
      <c r="G290" s="152"/>
      <c r="N290" s="368"/>
      <c r="O290" s="368"/>
      <c r="P290" s="368"/>
      <c r="Q290" s="368"/>
      <c r="R290" s="368"/>
      <c r="S290" s="368"/>
      <c r="T290" s="368"/>
      <c r="U290" s="368"/>
      <c r="V290" s="368"/>
      <c r="W290" s="368"/>
      <c r="X290" s="368"/>
      <c r="Y290" s="368"/>
      <c r="Z290" s="368"/>
      <c r="AA290" s="368"/>
      <c r="AB290" s="368"/>
    </row>
    <row r="291" spans="3:28" ht="18.95" customHeight="1" x14ac:dyDescent="0.3">
      <c r="C291" s="20"/>
      <c r="D291" s="47"/>
      <c r="E291" s="206"/>
      <c r="G291" s="152"/>
      <c r="N291" s="368"/>
      <c r="O291" s="368"/>
      <c r="P291" s="368"/>
      <c r="Q291" s="368"/>
      <c r="R291" s="368"/>
      <c r="S291" s="368"/>
      <c r="T291" s="368"/>
      <c r="U291" s="368"/>
      <c r="V291" s="368"/>
      <c r="W291" s="368"/>
      <c r="X291" s="368"/>
      <c r="Y291" s="368"/>
      <c r="Z291" s="368"/>
      <c r="AA291" s="368"/>
      <c r="AB291" s="368"/>
    </row>
    <row r="292" spans="3:28" ht="18.95" customHeight="1" x14ac:dyDescent="0.3">
      <c r="C292" s="20"/>
      <c r="D292" s="47"/>
      <c r="E292" s="206"/>
      <c r="G292" s="152"/>
      <c r="N292" s="368"/>
      <c r="O292" s="368"/>
      <c r="P292" s="368"/>
      <c r="Q292" s="368"/>
      <c r="R292" s="368"/>
      <c r="S292" s="368"/>
      <c r="T292" s="368"/>
      <c r="U292" s="368"/>
      <c r="V292" s="368"/>
      <c r="W292" s="368"/>
      <c r="X292" s="368"/>
      <c r="Y292" s="368"/>
      <c r="Z292" s="368"/>
      <c r="AA292" s="368"/>
      <c r="AB292" s="368"/>
    </row>
    <row r="293" spans="3:28" ht="18.95" customHeight="1" x14ac:dyDescent="0.3">
      <c r="C293" s="20"/>
      <c r="D293" s="47"/>
      <c r="E293" s="206"/>
      <c r="G293" s="152"/>
      <c r="N293" s="368"/>
      <c r="O293" s="368"/>
      <c r="P293" s="368"/>
      <c r="Q293" s="368"/>
      <c r="R293" s="368"/>
      <c r="S293" s="368"/>
      <c r="T293" s="368"/>
      <c r="U293" s="368"/>
      <c r="V293" s="368"/>
      <c r="W293" s="368"/>
      <c r="X293" s="368"/>
      <c r="Y293" s="368"/>
      <c r="Z293" s="368"/>
      <c r="AA293" s="368"/>
      <c r="AB293" s="368"/>
    </row>
    <row r="294" spans="3:28" ht="18.95" customHeight="1" x14ac:dyDescent="0.3">
      <c r="C294" s="20"/>
      <c r="D294" s="47"/>
      <c r="E294" s="206"/>
      <c r="G294" s="152"/>
      <c r="N294" s="368"/>
      <c r="O294" s="368"/>
      <c r="P294" s="368"/>
      <c r="Q294" s="368"/>
      <c r="R294" s="368"/>
      <c r="S294" s="368"/>
      <c r="T294" s="368"/>
      <c r="U294" s="368"/>
      <c r="V294" s="368"/>
      <c r="W294" s="368"/>
      <c r="X294" s="368"/>
      <c r="Y294" s="368"/>
      <c r="Z294" s="368"/>
      <c r="AA294" s="368"/>
      <c r="AB294" s="368"/>
    </row>
    <row r="295" spans="3:28" ht="18.95" customHeight="1" x14ac:dyDescent="0.3">
      <c r="C295" s="20"/>
      <c r="D295" s="47"/>
      <c r="E295" s="206"/>
      <c r="G295" s="152"/>
      <c r="N295" s="368"/>
      <c r="O295" s="368"/>
      <c r="P295" s="368"/>
      <c r="Q295" s="368"/>
      <c r="R295" s="368"/>
      <c r="S295" s="368"/>
      <c r="T295" s="368"/>
      <c r="U295" s="368"/>
      <c r="V295" s="368"/>
      <c r="W295" s="368"/>
      <c r="X295" s="368"/>
      <c r="Y295" s="368"/>
      <c r="Z295" s="368"/>
      <c r="AA295" s="368"/>
      <c r="AB295" s="368"/>
    </row>
    <row r="296" spans="3:28" ht="18.95" customHeight="1" x14ac:dyDescent="0.3">
      <c r="C296" s="20"/>
      <c r="D296" s="47"/>
      <c r="E296" s="206"/>
      <c r="G296" s="152"/>
      <c r="N296" s="368"/>
      <c r="O296" s="368"/>
      <c r="P296" s="368"/>
      <c r="Q296" s="368"/>
      <c r="R296" s="368"/>
      <c r="S296" s="368"/>
      <c r="T296" s="368"/>
      <c r="U296" s="368"/>
      <c r="V296" s="368"/>
      <c r="W296" s="368"/>
      <c r="X296" s="368"/>
      <c r="Y296" s="368"/>
      <c r="Z296" s="368"/>
      <c r="AA296" s="368"/>
      <c r="AB296" s="368"/>
    </row>
    <row r="297" spans="3:28" ht="18.95" customHeight="1" x14ac:dyDescent="0.3">
      <c r="C297" s="20"/>
      <c r="D297" s="47"/>
      <c r="E297" s="206"/>
      <c r="G297" s="152"/>
      <c r="N297" s="368"/>
      <c r="O297" s="368"/>
      <c r="P297" s="368"/>
      <c r="Q297" s="368"/>
      <c r="R297" s="368"/>
      <c r="S297" s="368"/>
      <c r="T297" s="368"/>
      <c r="U297" s="368"/>
      <c r="V297" s="368"/>
      <c r="W297" s="368"/>
      <c r="X297" s="368"/>
      <c r="Y297" s="368"/>
      <c r="Z297" s="368"/>
      <c r="AA297" s="368"/>
      <c r="AB297" s="368"/>
    </row>
    <row r="298" spans="3:28" ht="18.95" customHeight="1" x14ac:dyDescent="0.3">
      <c r="C298" s="20"/>
      <c r="D298" s="47"/>
      <c r="E298" s="206"/>
      <c r="G298" s="152"/>
      <c r="N298" s="368"/>
      <c r="O298" s="368"/>
      <c r="P298" s="368"/>
      <c r="Q298" s="368"/>
      <c r="R298" s="368"/>
      <c r="S298" s="368"/>
      <c r="T298" s="368"/>
      <c r="U298" s="368"/>
      <c r="V298" s="368"/>
      <c r="W298" s="368"/>
      <c r="X298" s="368"/>
      <c r="Y298" s="368"/>
      <c r="Z298" s="368"/>
      <c r="AA298" s="368"/>
      <c r="AB298" s="368"/>
    </row>
    <row r="299" spans="3:28" ht="18.95" customHeight="1" x14ac:dyDescent="0.3">
      <c r="C299" s="20"/>
      <c r="D299" s="47"/>
      <c r="E299" s="206"/>
      <c r="G299" s="152"/>
      <c r="N299" s="368"/>
      <c r="O299" s="368"/>
      <c r="P299" s="368"/>
      <c r="Q299" s="368"/>
      <c r="R299" s="368"/>
      <c r="S299" s="368"/>
      <c r="T299" s="368"/>
      <c r="U299" s="368"/>
      <c r="V299" s="368"/>
      <c r="W299" s="368"/>
      <c r="X299" s="368"/>
      <c r="Y299" s="368"/>
      <c r="Z299" s="368"/>
      <c r="AA299" s="368"/>
      <c r="AB299" s="368"/>
    </row>
    <row r="300" spans="3:28" ht="18.95" customHeight="1" x14ac:dyDescent="0.3">
      <c r="C300" s="20"/>
      <c r="D300" s="47"/>
      <c r="E300" s="206"/>
      <c r="G300" s="152"/>
      <c r="N300" s="368"/>
      <c r="O300" s="368"/>
      <c r="P300" s="368"/>
      <c r="Q300" s="368"/>
      <c r="R300" s="368"/>
      <c r="S300" s="368"/>
      <c r="T300" s="368"/>
      <c r="U300" s="368"/>
      <c r="V300" s="368"/>
      <c r="W300" s="368"/>
      <c r="X300" s="368"/>
      <c r="Y300" s="368"/>
      <c r="Z300" s="368"/>
      <c r="AA300" s="368"/>
      <c r="AB300" s="368"/>
    </row>
    <row r="301" spans="3:28" ht="18.95" customHeight="1" x14ac:dyDescent="0.3">
      <c r="C301" s="20"/>
      <c r="D301" s="47"/>
      <c r="E301" s="206"/>
      <c r="G301" s="152"/>
      <c r="N301" s="368"/>
      <c r="O301" s="368"/>
      <c r="P301" s="368"/>
      <c r="Q301" s="368"/>
      <c r="R301" s="368"/>
      <c r="S301" s="368"/>
      <c r="T301" s="368"/>
      <c r="U301" s="368"/>
      <c r="V301" s="368"/>
      <c r="W301" s="368"/>
      <c r="X301" s="368"/>
      <c r="Y301" s="368"/>
      <c r="Z301" s="368"/>
      <c r="AA301" s="368"/>
      <c r="AB301" s="368"/>
    </row>
    <row r="302" spans="3:28" ht="18.95" customHeight="1" x14ac:dyDescent="0.3">
      <c r="C302" s="20"/>
      <c r="D302" s="47"/>
      <c r="E302" s="206"/>
      <c r="G302" s="152"/>
      <c r="N302" s="368"/>
      <c r="O302" s="368"/>
      <c r="P302" s="368"/>
      <c r="Q302" s="368"/>
      <c r="R302" s="368"/>
      <c r="S302" s="368"/>
      <c r="T302" s="368"/>
      <c r="U302" s="368"/>
      <c r="V302" s="368"/>
      <c r="W302" s="368"/>
      <c r="X302" s="368"/>
      <c r="Y302" s="368"/>
      <c r="Z302" s="368"/>
      <c r="AA302" s="368"/>
      <c r="AB302" s="368"/>
    </row>
    <row r="303" spans="3:28" ht="18.95" customHeight="1" x14ac:dyDescent="0.3">
      <c r="C303" s="20"/>
      <c r="D303" s="47"/>
      <c r="E303" s="206"/>
      <c r="G303" s="152"/>
      <c r="N303" s="368"/>
      <c r="O303" s="368"/>
      <c r="P303" s="368"/>
      <c r="Q303" s="368"/>
      <c r="R303" s="368"/>
      <c r="S303" s="368"/>
      <c r="T303" s="368"/>
      <c r="U303" s="368"/>
      <c r="V303" s="368"/>
      <c r="W303" s="368"/>
      <c r="X303" s="368"/>
      <c r="Y303" s="368"/>
      <c r="Z303" s="368"/>
      <c r="AA303" s="368"/>
      <c r="AB303" s="368"/>
    </row>
    <row r="304" spans="3:28" ht="18.95" customHeight="1" x14ac:dyDescent="0.3">
      <c r="C304" s="20"/>
      <c r="D304" s="47"/>
      <c r="E304" s="206"/>
      <c r="G304" s="152"/>
      <c r="N304" s="368"/>
      <c r="O304" s="368"/>
      <c r="P304" s="368"/>
      <c r="Q304" s="368"/>
      <c r="R304" s="368"/>
      <c r="S304" s="368"/>
      <c r="T304" s="368"/>
      <c r="U304" s="368"/>
      <c r="V304" s="368"/>
      <c r="W304" s="368"/>
      <c r="X304" s="368"/>
      <c r="Y304" s="368"/>
      <c r="Z304" s="368"/>
      <c r="AA304" s="368"/>
      <c r="AB304" s="368"/>
    </row>
    <row r="305" spans="3:28" ht="18.95" customHeight="1" x14ac:dyDescent="0.3">
      <c r="C305" s="20"/>
      <c r="D305" s="47"/>
      <c r="E305" s="206"/>
      <c r="G305" s="152"/>
      <c r="N305" s="368"/>
      <c r="O305" s="368"/>
      <c r="P305" s="368"/>
      <c r="Q305" s="368"/>
      <c r="R305" s="368"/>
      <c r="S305" s="368"/>
      <c r="T305" s="368"/>
      <c r="U305" s="368"/>
      <c r="V305" s="368"/>
      <c r="W305" s="368"/>
      <c r="X305" s="368"/>
      <c r="Y305" s="368"/>
      <c r="Z305" s="368"/>
      <c r="AA305" s="368"/>
      <c r="AB305" s="368"/>
    </row>
    <row r="306" spans="3:28" ht="18.95" customHeight="1" x14ac:dyDescent="0.3">
      <c r="C306" s="20"/>
      <c r="D306" s="47"/>
      <c r="E306" s="206"/>
      <c r="G306" s="152"/>
      <c r="N306" s="368"/>
      <c r="O306" s="368"/>
      <c r="P306" s="368"/>
      <c r="Q306" s="368"/>
      <c r="R306" s="368"/>
      <c r="S306" s="368"/>
      <c r="T306" s="368"/>
      <c r="U306" s="368"/>
      <c r="V306" s="368"/>
      <c r="W306" s="368"/>
      <c r="X306" s="368"/>
      <c r="Y306" s="368"/>
      <c r="Z306" s="368"/>
      <c r="AA306" s="368"/>
      <c r="AB306" s="368"/>
    </row>
    <row r="307" spans="3:28" ht="18.95" customHeight="1" x14ac:dyDescent="0.3">
      <c r="C307" s="20"/>
      <c r="D307" s="47"/>
      <c r="E307" s="206"/>
      <c r="G307" s="152"/>
      <c r="N307" s="368"/>
      <c r="O307" s="368"/>
      <c r="P307" s="368"/>
      <c r="Q307" s="368"/>
      <c r="R307" s="368"/>
      <c r="S307" s="368"/>
      <c r="T307" s="368"/>
      <c r="U307" s="368"/>
      <c r="V307" s="368"/>
      <c r="W307" s="368"/>
      <c r="X307" s="368"/>
      <c r="Y307" s="368"/>
      <c r="Z307" s="368"/>
      <c r="AA307" s="368"/>
      <c r="AB307" s="368"/>
    </row>
    <row r="308" spans="3:28" ht="18.95" customHeight="1" x14ac:dyDescent="0.3">
      <c r="C308" s="20"/>
      <c r="D308" s="47"/>
      <c r="E308" s="206"/>
      <c r="G308" s="152"/>
      <c r="N308" s="368"/>
      <c r="O308" s="368"/>
      <c r="P308" s="368"/>
      <c r="Q308" s="368"/>
      <c r="R308" s="368"/>
      <c r="S308" s="368"/>
      <c r="T308" s="368"/>
      <c r="U308" s="368"/>
      <c r="V308" s="368"/>
      <c r="W308" s="368"/>
      <c r="X308" s="368"/>
      <c r="Y308" s="368"/>
      <c r="Z308" s="368"/>
      <c r="AA308" s="368"/>
      <c r="AB308" s="368"/>
    </row>
    <row r="309" spans="3:28" ht="18.95" customHeight="1" x14ac:dyDescent="0.3">
      <c r="C309" s="20"/>
      <c r="D309" s="47"/>
      <c r="E309" s="206"/>
      <c r="G309" s="152"/>
      <c r="N309" s="368"/>
      <c r="O309" s="368"/>
      <c r="P309" s="368"/>
      <c r="Q309" s="368"/>
      <c r="R309" s="368"/>
      <c r="S309" s="368"/>
      <c r="T309" s="368"/>
      <c r="U309" s="368"/>
      <c r="V309" s="368"/>
      <c r="W309" s="368"/>
      <c r="X309" s="368"/>
      <c r="Y309" s="368"/>
      <c r="Z309" s="368"/>
      <c r="AA309" s="368"/>
      <c r="AB309" s="368"/>
    </row>
    <row r="310" spans="3:28" ht="18.95" customHeight="1" x14ac:dyDescent="0.3">
      <c r="C310" s="20"/>
      <c r="D310" s="47"/>
      <c r="E310" s="206"/>
      <c r="G310" s="152"/>
      <c r="N310" s="368"/>
      <c r="O310" s="368"/>
      <c r="P310" s="368"/>
      <c r="Q310" s="368"/>
      <c r="R310" s="368"/>
      <c r="S310" s="368"/>
      <c r="T310" s="368"/>
      <c r="U310" s="368"/>
      <c r="V310" s="368"/>
      <c r="W310" s="368"/>
      <c r="X310" s="368"/>
      <c r="Y310" s="368"/>
      <c r="Z310" s="368"/>
      <c r="AA310" s="368"/>
      <c r="AB310" s="368"/>
    </row>
    <row r="311" spans="3:28" ht="18.95" customHeight="1" x14ac:dyDescent="0.3">
      <c r="C311" s="20"/>
      <c r="D311" s="47"/>
      <c r="E311" s="206"/>
      <c r="G311" s="152"/>
      <c r="N311" s="368"/>
      <c r="O311" s="368"/>
      <c r="P311" s="368"/>
      <c r="Q311" s="368"/>
      <c r="R311" s="368"/>
      <c r="S311" s="368"/>
      <c r="T311" s="368"/>
      <c r="U311" s="368"/>
      <c r="V311" s="368"/>
      <c r="W311" s="368"/>
      <c r="X311" s="368"/>
      <c r="Y311" s="368"/>
      <c r="Z311" s="368"/>
      <c r="AA311" s="368"/>
      <c r="AB311" s="368"/>
    </row>
    <row r="312" spans="3:28" ht="18.95" customHeight="1" x14ac:dyDescent="0.3">
      <c r="C312" s="20"/>
      <c r="D312" s="47"/>
      <c r="E312" s="206"/>
      <c r="G312" s="152"/>
      <c r="N312" s="368"/>
      <c r="O312" s="368"/>
      <c r="P312" s="368"/>
      <c r="Q312" s="368"/>
      <c r="R312" s="368"/>
      <c r="S312" s="368"/>
      <c r="T312" s="368"/>
      <c r="U312" s="368"/>
      <c r="V312" s="368"/>
      <c r="W312" s="368"/>
      <c r="X312" s="368"/>
      <c r="Y312" s="368"/>
      <c r="Z312" s="368"/>
      <c r="AA312" s="368"/>
      <c r="AB312" s="368"/>
    </row>
    <row r="313" spans="3:28" ht="18.95" customHeight="1" x14ac:dyDescent="0.3">
      <c r="C313" s="20"/>
      <c r="D313" s="47"/>
      <c r="E313" s="206"/>
      <c r="G313" s="152"/>
      <c r="N313" s="368"/>
      <c r="O313" s="368"/>
      <c r="P313" s="368"/>
      <c r="Q313" s="368"/>
      <c r="R313" s="368"/>
      <c r="S313" s="368"/>
      <c r="T313" s="368"/>
      <c r="U313" s="368"/>
      <c r="V313" s="368"/>
      <c r="W313" s="368"/>
      <c r="X313" s="368"/>
      <c r="Y313" s="368"/>
      <c r="Z313" s="368"/>
      <c r="AA313" s="368"/>
      <c r="AB313" s="368"/>
    </row>
    <row r="314" spans="3:28" ht="18.95" customHeight="1" x14ac:dyDescent="0.3">
      <c r="C314" s="20"/>
      <c r="D314" s="47"/>
      <c r="E314" s="206"/>
      <c r="G314" s="152"/>
      <c r="N314" s="368"/>
      <c r="O314" s="368"/>
      <c r="P314" s="368"/>
      <c r="Q314" s="368"/>
      <c r="R314" s="368"/>
      <c r="S314" s="368"/>
      <c r="T314" s="368"/>
      <c r="U314" s="368"/>
      <c r="V314" s="368"/>
      <c r="W314" s="368"/>
      <c r="X314" s="368"/>
      <c r="Y314" s="368"/>
      <c r="Z314" s="368"/>
      <c r="AA314" s="368"/>
      <c r="AB314" s="368"/>
    </row>
    <row r="315" spans="3:28" ht="18.95" customHeight="1" x14ac:dyDescent="0.3">
      <c r="C315" s="20"/>
      <c r="D315" s="47"/>
      <c r="E315" s="206"/>
      <c r="G315" s="152"/>
      <c r="N315" s="368"/>
      <c r="O315" s="368"/>
      <c r="P315" s="368"/>
      <c r="Q315" s="368"/>
      <c r="R315" s="368"/>
      <c r="S315" s="368"/>
      <c r="T315" s="368"/>
      <c r="U315" s="368"/>
      <c r="V315" s="368"/>
      <c r="W315" s="368"/>
      <c r="X315" s="368"/>
      <c r="Y315" s="368"/>
      <c r="Z315" s="368"/>
      <c r="AA315" s="368"/>
      <c r="AB315" s="368"/>
    </row>
    <row r="316" spans="3:28" ht="18.95" customHeight="1" x14ac:dyDescent="0.3">
      <c r="C316" s="20"/>
      <c r="D316" s="47"/>
      <c r="E316" s="206"/>
      <c r="G316" s="152"/>
      <c r="N316" s="368"/>
      <c r="O316" s="368"/>
      <c r="P316" s="368"/>
      <c r="Q316" s="368"/>
      <c r="R316" s="368"/>
      <c r="S316" s="368"/>
      <c r="T316" s="368"/>
      <c r="U316" s="368"/>
      <c r="V316" s="368"/>
      <c r="W316" s="368"/>
      <c r="X316" s="368"/>
      <c r="Y316" s="368"/>
      <c r="Z316" s="368"/>
      <c r="AA316" s="368"/>
      <c r="AB316" s="368"/>
    </row>
    <row r="317" spans="3:28" ht="18.95" customHeight="1" x14ac:dyDescent="0.3">
      <c r="C317" s="20"/>
      <c r="D317" s="47"/>
      <c r="E317" s="206"/>
      <c r="G317" s="152"/>
      <c r="N317" s="368"/>
      <c r="O317" s="368"/>
      <c r="P317" s="368"/>
      <c r="Q317" s="368"/>
      <c r="R317" s="368"/>
      <c r="S317" s="368"/>
      <c r="T317" s="368"/>
      <c r="U317" s="368"/>
      <c r="V317" s="368"/>
      <c r="W317" s="368"/>
      <c r="X317" s="368"/>
      <c r="Y317" s="368"/>
      <c r="Z317" s="368"/>
      <c r="AA317" s="368"/>
      <c r="AB317" s="368"/>
    </row>
    <row r="318" spans="3:28" ht="18.95" customHeight="1" x14ac:dyDescent="0.3">
      <c r="C318" s="20"/>
      <c r="D318" s="47"/>
      <c r="E318" s="206"/>
      <c r="G318" s="152"/>
      <c r="N318" s="368"/>
      <c r="O318" s="368"/>
      <c r="P318" s="368"/>
      <c r="Q318" s="368"/>
      <c r="R318" s="368"/>
      <c r="S318" s="368"/>
      <c r="T318" s="368"/>
      <c r="U318" s="368"/>
      <c r="V318" s="368"/>
      <c r="W318" s="368"/>
      <c r="X318" s="368"/>
      <c r="Y318" s="368"/>
      <c r="Z318" s="368"/>
      <c r="AA318" s="368"/>
      <c r="AB318" s="368"/>
    </row>
    <row r="319" spans="3:28" ht="18.95" customHeight="1" x14ac:dyDescent="0.3">
      <c r="C319" s="20"/>
      <c r="D319" s="47"/>
      <c r="E319" s="206"/>
      <c r="G319" s="152"/>
      <c r="N319" s="368"/>
      <c r="O319" s="368"/>
      <c r="P319" s="368"/>
      <c r="Q319" s="368"/>
      <c r="R319" s="368"/>
      <c r="S319" s="368"/>
      <c r="T319" s="368"/>
      <c r="U319" s="368"/>
      <c r="V319" s="368"/>
      <c r="W319" s="368"/>
      <c r="X319" s="368"/>
      <c r="Y319" s="368"/>
      <c r="Z319" s="368"/>
      <c r="AA319" s="368"/>
      <c r="AB319" s="368"/>
    </row>
    <row r="320" spans="3:28" ht="18.95" customHeight="1" x14ac:dyDescent="0.3">
      <c r="C320" s="20"/>
      <c r="D320" s="47"/>
      <c r="E320" s="206"/>
      <c r="G320" s="152"/>
      <c r="N320" s="368"/>
      <c r="O320" s="368"/>
      <c r="P320" s="368"/>
      <c r="Q320" s="368"/>
      <c r="R320" s="368"/>
      <c r="S320" s="368"/>
      <c r="T320" s="368"/>
      <c r="U320" s="368"/>
      <c r="V320" s="368"/>
      <c r="W320" s="368"/>
      <c r="X320" s="368"/>
      <c r="Y320" s="368"/>
      <c r="Z320" s="368"/>
      <c r="AA320" s="368"/>
      <c r="AB320" s="368"/>
    </row>
    <row r="321" spans="3:28" ht="18.95" customHeight="1" x14ac:dyDescent="0.3">
      <c r="C321" s="20"/>
      <c r="D321" s="47"/>
      <c r="E321" s="206"/>
      <c r="G321" s="152"/>
      <c r="N321" s="368"/>
      <c r="O321" s="368"/>
      <c r="P321" s="368"/>
      <c r="Q321" s="368"/>
      <c r="R321" s="368"/>
      <c r="S321" s="368"/>
      <c r="T321" s="368"/>
      <c r="U321" s="368"/>
      <c r="V321" s="368"/>
      <c r="W321" s="368"/>
      <c r="X321" s="368"/>
      <c r="Y321" s="368"/>
      <c r="Z321" s="368"/>
      <c r="AA321" s="368"/>
      <c r="AB321" s="368"/>
    </row>
    <row r="322" spans="3:28" ht="18.95" customHeight="1" x14ac:dyDescent="0.3">
      <c r="C322" s="20"/>
      <c r="D322" s="47"/>
      <c r="E322" s="206"/>
      <c r="G322" s="152"/>
      <c r="N322" s="368"/>
      <c r="O322" s="368"/>
      <c r="P322" s="368"/>
      <c r="Q322" s="368"/>
      <c r="R322" s="368"/>
      <c r="S322" s="368"/>
      <c r="T322" s="368"/>
      <c r="U322" s="368"/>
      <c r="V322" s="368"/>
      <c r="W322" s="368"/>
      <c r="X322" s="368"/>
      <c r="Y322" s="368"/>
      <c r="Z322" s="368"/>
      <c r="AA322" s="368"/>
      <c r="AB322" s="368"/>
    </row>
    <row r="323" spans="3:28" ht="18.95" customHeight="1" x14ac:dyDescent="0.3">
      <c r="C323" s="20"/>
      <c r="D323" s="47"/>
      <c r="E323" s="206"/>
      <c r="G323" s="152"/>
      <c r="N323" s="368"/>
      <c r="O323" s="368"/>
      <c r="P323" s="368"/>
      <c r="Q323" s="368"/>
      <c r="R323" s="368"/>
      <c r="S323" s="368"/>
      <c r="T323" s="368"/>
      <c r="U323" s="368"/>
      <c r="V323" s="368"/>
      <c r="W323" s="368"/>
      <c r="X323" s="368"/>
      <c r="Y323" s="368"/>
      <c r="Z323" s="368"/>
      <c r="AA323" s="368"/>
      <c r="AB323" s="368"/>
    </row>
    <row r="324" spans="3:28" ht="18.95" customHeight="1" x14ac:dyDescent="0.3">
      <c r="C324" s="20"/>
      <c r="D324" s="47"/>
      <c r="E324" s="206"/>
      <c r="G324" s="152"/>
      <c r="N324" s="368"/>
      <c r="O324" s="368"/>
      <c r="P324" s="368"/>
      <c r="Q324" s="368"/>
      <c r="R324" s="368"/>
      <c r="S324" s="368"/>
      <c r="T324" s="368"/>
      <c r="U324" s="368"/>
      <c r="V324" s="368"/>
      <c r="W324" s="368"/>
      <c r="X324" s="368"/>
      <c r="Y324" s="368"/>
      <c r="Z324" s="368"/>
      <c r="AA324" s="368"/>
      <c r="AB324" s="368"/>
    </row>
    <row r="325" spans="3:28" ht="18.95" customHeight="1" x14ac:dyDescent="0.3">
      <c r="C325" s="20"/>
      <c r="D325" s="47"/>
      <c r="E325" s="206"/>
      <c r="G325" s="152"/>
      <c r="N325" s="368"/>
      <c r="O325" s="368"/>
      <c r="P325" s="368"/>
      <c r="Q325" s="368"/>
      <c r="R325" s="368"/>
      <c r="S325" s="368"/>
      <c r="T325" s="368"/>
      <c r="U325" s="368"/>
      <c r="V325" s="368"/>
      <c r="W325" s="368"/>
      <c r="X325" s="368"/>
      <c r="Y325" s="368"/>
      <c r="Z325" s="368"/>
      <c r="AA325" s="368"/>
      <c r="AB325" s="368"/>
    </row>
    <row r="326" spans="3:28" ht="18.95" customHeight="1" x14ac:dyDescent="0.3">
      <c r="C326" s="20"/>
      <c r="D326" s="47"/>
      <c r="E326" s="206"/>
      <c r="G326" s="152"/>
      <c r="N326" s="368"/>
      <c r="O326" s="368"/>
      <c r="P326" s="368"/>
      <c r="Q326" s="368"/>
      <c r="R326" s="368"/>
      <c r="S326" s="368"/>
      <c r="T326" s="368"/>
      <c r="U326" s="368"/>
      <c r="V326" s="368"/>
      <c r="W326" s="368"/>
      <c r="X326" s="368"/>
      <c r="Y326" s="368"/>
      <c r="Z326" s="368"/>
      <c r="AA326" s="368"/>
      <c r="AB326" s="368"/>
    </row>
    <row r="327" spans="3:28" ht="18.95" customHeight="1" x14ac:dyDescent="0.3">
      <c r="C327" s="20"/>
      <c r="D327" s="47"/>
      <c r="E327" s="206"/>
      <c r="G327" s="152"/>
      <c r="N327" s="368"/>
      <c r="O327" s="368"/>
      <c r="P327" s="368"/>
      <c r="Q327" s="368"/>
      <c r="R327" s="368"/>
      <c r="S327" s="368"/>
      <c r="T327" s="368"/>
      <c r="U327" s="368"/>
      <c r="V327" s="368"/>
      <c r="W327" s="368"/>
      <c r="X327" s="368"/>
      <c r="Y327" s="368"/>
      <c r="Z327" s="368"/>
      <c r="AA327" s="368"/>
      <c r="AB327" s="368"/>
    </row>
    <row r="328" spans="3:28" ht="18.95" customHeight="1" x14ac:dyDescent="0.3">
      <c r="C328" s="20"/>
      <c r="D328" s="47"/>
      <c r="E328" s="206"/>
      <c r="G328" s="152"/>
      <c r="N328" s="368"/>
      <c r="O328" s="368"/>
      <c r="P328" s="368"/>
      <c r="Q328" s="368"/>
      <c r="R328" s="368"/>
      <c r="S328" s="368"/>
      <c r="T328" s="368"/>
      <c r="U328" s="368"/>
      <c r="V328" s="368"/>
      <c r="W328" s="368"/>
      <c r="X328" s="368"/>
      <c r="Y328" s="368"/>
      <c r="Z328" s="368"/>
      <c r="AA328" s="368"/>
      <c r="AB328" s="368"/>
    </row>
    <row r="329" spans="3:28" ht="18.95" customHeight="1" x14ac:dyDescent="0.3">
      <c r="C329" s="20"/>
      <c r="D329" s="47"/>
      <c r="E329" s="206"/>
      <c r="G329" s="152"/>
      <c r="N329" s="368"/>
      <c r="O329" s="368"/>
      <c r="P329" s="368"/>
      <c r="Q329" s="368"/>
      <c r="R329" s="368"/>
      <c r="S329" s="368"/>
      <c r="T329" s="368"/>
      <c r="U329" s="368"/>
      <c r="V329" s="368"/>
      <c r="W329" s="368"/>
      <c r="X329" s="368"/>
      <c r="Y329" s="368"/>
      <c r="Z329" s="368"/>
      <c r="AA329" s="368"/>
      <c r="AB329" s="368"/>
    </row>
    <row r="330" spans="3:28" ht="18.95" customHeight="1" x14ac:dyDescent="0.3">
      <c r="C330" s="20"/>
      <c r="D330" s="47"/>
      <c r="E330" s="206"/>
      <c r="G330" s="152"/>
      <c r="N330" s="368"/>
      <c r="O330" s="368"/>
      <c r="P330" s="368"/>
      <c r="Q330" s="368"/>
      <c r="R330" s="368"/>
      <c r="S330" s="368"/>
      <c r="T330" s="368"/>
      <c r="U330" s="368"/>
      <c r="V330" s="368"/>
      <c r="W330" s="368"/>
      <c r="X330" s="368"/>
      <c r="Y330" s="368"/>
      <c r="Z330" s="368"/>
      <c r="AA330" s="368"/>
      <c r="AB330" s="368"/>
    </row>
    <row r="331" spans="3:28" ht="18.95" customHeight="1" x14ac:dyDescent="0.3">
      <c r="C331" s="20"/>
      <c r="D331" s="47"/>
      <c r="E331" s="206"/>
      <c r="G331" s="152"/>
      <c r="N331" s="368"/>
      <c r="O331" s="368"/>
      <c r="P331" s="368"/>
      <c r="Q331" s="368"/>
      <c r="R331" s="368"/>
      <c r="S331" s="368"/>
      <c r="T331" s="368"/>
      <c r="U331" s="368"/>
      <c r="V331" s="368"/>
      <c r="W331" s="368"/>
      <c r="X331" s="368"/>
      <c r="Y331" s="368"/>
      <c r="Z331" s="368"/>
      <c r="AA331" s="368"/>
      <c r="AB331" s="368"/>
    </row>
    <row r="332" spans="3:28" ht="18.95" customHeight="1" x14ac:dyDescent="0.3">
      <c r="C332" s="20"/>
      <c r="D332" s="47"/>
      <c r="E332" s="206"/>
      <c r="G332" s="152"/>
      <c r="M332" s="20"/>
      <c r="N332" s="368"/>
      <c r="O332" s="368"/>
      <c r="P332" s="368"/>
      <c r="Q332" s="368"/>
      <c r="R332" s="368"/>
      <c r="S332" s="368"/>
      <c r="T332" s="368"/>
      <c r="U332" s="368"/>
      <c r="V332" s="368"/>
      <c r="W332" s="368"/>
      <c r="X332" s="368"/>
      <c r="Y332" s="368"/>
      <c r="Z332" s="368"/>
      <c r="AA332" s="368"/>
      <c r="AB332" s="368"/>
    </row>
    <row r="333" spans="3:28" ht="18.95" customHeight="1" x14ac:dyDescent="0.3">
      <c r="C333" s="20"/>
      <c r="D333" s="47"/>
      <c r="E333" s="206"/>
      <c r="G333" s="152"/>
      <c r="M333" s="20"/>
      <c r="N333" s="368"/>
      <c r="O333" s="368"/>
      <c r="P333" s="368"/>
      <c r="Q333" s="368"/>
      <c r="R333" s="368"/>
      <c r="S333" s="368"/>
      <c r="T333" s="368"/>
      <c r="U333" s="368"/>
      <c r="V333" s="368"/>
      <c r="W333" s="368"/>
      <c r="X333" s="368"/>
      <c r="Y333" s="368"/>
      <c r="Z333" s="368"/>
      <c r="AA333" s="368"/>
      <c r="AB333" s="368"/>
    </row>
    <row r="334" spans="3:28" ht="18.95" customHeight="1" x14ac:dyDescent="0.3">
      <c r="C334" s="20"/>
      <c r="D334" s="47"/>
      <c r="E334" s="206"/>
      <c r="G334" s="152"/>
      <c r="M334" s="211"/>
      <c r="N334" s="368"/>
      <c r="O334" s="368"/>
      <c r="P334" s="368"/>
      <c r="Q334" s="368"/>
      <c r="R334" s="368"/>
      <c r="S334" s="368"/>
      <c r="T334" s="368"/>
      <c r="U334" s="368"/>
      <c r="V334" s="368"/>
      <c r="W334" s="368"/>
      <c r="X334" s="368"/>
      <c r="Y334" s="368"/>
      <c r="Z334" s="368"/>
      <c r="AA334" s="368"/>
      <c r="AB334" s="368"/>
    </row>
    <row r="335" spans="3:28" ht="18.95" customHeight="1" x14ac:dyDescent="0.3">
      <c r="C335" s="20"/>
      <c r="D335" s="47"/>
      <c r="E335" s="206"/>
      <c r="G335" s="152"/>
      <c r="M335" s="220"/>
      <c r="N335" s="368"/>
      <c r="O335" s="368"/>
      <c r="P335" s="368"/>
      <c r="Q335" s="368"/>
      <c r="R335" s="368"/>
      <c r="S335" s="368"/>
      <c r="T335" s="368"/>
      <c r="U335" s="368"/>
      <c r="V335" s="368"/>
      <c r="W335" s="368"/>
      <c r="X335" s="368"/>
      <c r="Y335" s="368"/>
      <c r="Z335" s="368"/>
      <c r="AA335" s="368"/>
      <c r="AB335" s="368"/>
    </row>
    <row r="336" spans="3:28" ht="18.95" customHeight="1" x14ac:dyDescent="0.3">
      <c r="C336" s="20"/>
      <c r="D336" s="47"/>
      <c r="E336" s="206"/>
      <c r="G336" s="152"/>
      <c r="M336" s="20"/>
      <c r="N336" s="368"/>
      <c r="O336" s="368"/>
      <c r="P336" s="368"/>
      <c r="Q336" s="368"/>
      <c r="R336" s="368"/>
      <c r="S336" s="368"/>
      <c r="T336" s="368"/>
      <c r="U336" s="368"/>
      <c r="V336" s="368"/>
      <c r="W336" s="368"/>
      <c r="X336" s="368"/>
      <c r="Y336" s="368"/>
      <c r="Z336" s="368"/>
      <c r="AA336" s="368"/>
      <c r="AB336" s="368"/>
    </row>
    <row r="337" spans="3:28" ht="18.95" customHeight="1" x14ac:dyDescent="0.3">
      <c r="C337" s="20"/>
      <c r="D337" s="47"/>
      <c r="E337" s="206"/>
      <c r="G337" s="152"/>
      <c r="M337" s="20"/>
      <c r="N337" s="368"/>
      <c r="O337" s="368"/>
      <c r="P337" s="368"/>
      <c r="Q337" s="368"/>
      <c r="R337" s="368"/>
      <c r="S337" s="368"/>
      <c r="T337" s="368"/>
      <c r="U337" s="368"/>
      <c r="V337" s="368"/>
      <c r="W337" s="368"/>
      <c r="X337" s="368"/>
      <c r="Y337" s="368"/>
      <c r="Z337" s="368"/>
      <c r="AA337" s="368"/>
      <c r="AB337" s="368"/>
    </row>
    <row r="338" spans="3:28" ht="18.95" customHeight="1" x14ac:dyDescent="0.3">
      <c r="C338" s="20"/>
      <c r="D338" s="47"/>
      <c r="E338" s="206"/>
      <c r="G338" s="152"/>
      <c r="M338" s="76"/>
      <c r="N338" s="368"/>
      <c r="O338" s="368"/>
      <c r="P338" s="368"/>
      <c r="Q338" s="368"/>
      <c r="R338" s="368"/>
      <c r="S338" s="368"/>
      <c r="T338" s="368"/>
      <c r="U338" s="368"/>
      <c r="V338" s="368"/>
      <c r="W338" s="368"/>
      <c r="X338" s="368"/>
      <c r="Y338" s="368"/>
      <c r="Z338" s="368"/>
      <c r="AA338" s="368"/>
      <c r="AB338" s="368"/>
    </row>
    <row r="339" spans="3:28" ht="18.95" customHeight="1" x14ac:dyDescent="0.3">
      <c r="C339" s="20"/>
      <c r="D339" s="47"/>
      <c r="E339" s="206"/>
      <c r="G339" s="152"/>
      <c r="M339" s="255"/>
      <c r="N339" s="368"/>
      <c r="O339" s="368"/>
      <c r="P339" s="368"/>
      <c r="Q339" s="368"/>
      <c r="R339" s="368"/>
      <c r="S339" s="368"/>
      <c r="T339" s="368"/>
      <c r="U339" s="368"/>
      <c r="V339" s="368"/>
      <c r="W339" s="368"/>
      <c r="X339" s="368"/>
      <c r="Y339" s="368"/>
      <c r="Z339" s="368"/>
      <c r="AA339" s="368"/>
      <c r="AB339" s="368"/>
    </row>
    <row r="340" spans="3:28" ht="18.95" customHeight="1" x14ac:dyDescent="0.3">
      <c r="C340" s="20"/>
      <c r="D340" s="47"/>
      <c r="E340" s="206"/>
      <c r="G340" s="152"/>
      <c r="M340" s="255"/>
      <c r="N340" s="368"/>
      <c r="O340" s="368"/>
      <c r="P340" s="368"/>
      <c r="Q340" s="368"/>
      <c r="R340" s="368"/>
      <c r="S340" s="368"/>
      <c r="T340" s="368"/>
      <c r="U340" s="368"/>
      <c r="V340" s="368"/>
      <c r="W340" s="368"/>
      <c r="X340" s="368"/>
      <c r="Y340" s="368"/>
      <c r="Z340" s="368"/>
      <c r="AA340" s="368"/>
      <c r="AB340" s="368"/>
    </row>
    <row r="341" spans="3:28" ht="18.95" customHeight="1" x14ac:dyDescent="0.3">
      <c r="C341" s="20"/>
      <c r="D341" s="47"/>
      <c r="E341" s="206"/>
      <c r="G341" s="152"/>
      <c r="M341" s="255"/>
      <c r="N341" s="368"/>
      <c r="O341" s="368"/>
      <c r="P341" s="368"/>
      <c r="Q341" s="368"/>
      <c r="R341" s="368"/>
      <c r="S341" s="368"/>
      <c r="T341" s="368"/>
      <c r="U341" s="368"/>
      <c r="V341" s="368"/>
      <c r="W341" s="368"/>
      <c r="X341" s="368"/>
      <c r="Y341" s="368"/>
      <c r="Z341" s="368"/>
      <c r="AA341" s="368"/>
      <c r="AB341" s="368"/>
    </row>
    <row r="342" spans="3:28" ht="18.95" customHeight="1" x14ac:dyDescent="0.3">
      <c r="C342" s="20"/>
      <c r="D342" s="47"/>
      <c r="E342" s="206"/>
      <c r="G342" s="152"/>
      <c r="M342" s="255"/>
      <c r="N342" s="368"/>
      <c r="O342" s="368"/>
      <c r="P342" s="368"/>
      <c r="Q342" s="368"/>
      <c r="R342" s="368"/>
      <c r="S342" s="368"/>
      <c r="T342" s="368"/>
      <c r="U342" s="368"/>
      <c r="V342" s="368"/>
      <c r="W342" s="368"/>
      <c r="X342" s="368"/>
      <c r="Y342" s="368"/>
      <c r="Z342" s="368"/>
      <c r="AA342" s="368"/>
      <c r="AB342" s="368"/>
    </row>
    <row r="343" spans="3:28" ht="18.95" customHeight="1" x14ac:dyDescent="0.3">
      <c r="C343" s="20"/>
      <c r="D343" s="47"/>
      <c r="E343" s="206"/>
      <c r="G343" s="152"/>
      <c r="M343" s="256"/>
      <c r="N343" s="368"/>
      <c r="O343" s="368"/>
      <c r="P343" s="368"/>
      <c r="Q343" s="368"/>
      <c r="R343" s="368"/>
      <c r="S343" s="368"/>
      <c r="T343" s="368"/>
      <c r="U343" s="368"/>
      <c r="V343" s="368"/>
      <c r="W343" s="368"/>
      <c r="X343" s="368"/>
      <c r="Y343" s="368"/>
      <c r="Z343" s="368"/>
      <c r="AA343" s="368"/>
      <c r="AB343" s="368"/>
    </row>
    <row r="344" spans="3:28" ht="18.95" customHeight="1" x14ac:dyDescent="0.3">
      <c r="C344" s="20"/>
      <c r="D344" s="47"/>
      <c r="E344" s="206"/>
      <c r="G344" s="152"/>
      <c r="M344" s="257"/>
      <c r="N344" s="368"/>
      <c r="O344" s="368"/>
      <c r="P344" s="368"/>
      <c r="Q344" s="368"/>
      <c r="R344" s="368"/>
      <c r="S344" s="368"/>
      <c r="T344" s="368"/>
      <c r="U344" s="368"/>
      <c r="V344" s="368"/>
      <c r="W344" s="368"/>
      <c r="X344" s="368"/>
      <c r="Y344" s="368"/>
      <c r="Z344" s="368"/>
      <c r="AA344" s="368"/>
      <c r="AB344" s="368"/>
    </row>
    <row r="345" spans="3:28" ht="18.95" customHeight="1" x14ac:dyDescent="0.3">
      <c r="C345" s="20"/>
      <c r="D345" s="47"/>
      <c r="E345" s="206"/>
      <c r="G345" s="152"/>
      <c r="M345" s="258"/>
      <c r="N345" s="368"/>
      <c r="O345" s="368"/>
      <c r="P345" s="368"/>
      <c r="Q345" s="368"/>
      <c r="R345" s="368"/>
      <c r="S345" s="368"/>
      <c r="T345" s="368"/>
      <c r="U345" s="368"/>
      <c r="V345" s="368"/>
      <c r="W345" s="368"/>
      <c r="X345" s="368"/>
      <c r="Y345" s="368"/>
      <c r="Z345" s="368"/>
      <c r="AA345" s="368"/>
      <c r="AB345" s="368"/>
    </row>
    <row r="346" spans="3:28" ht="18.95" customHeight="1" x14ac:dyDescent="0.3">
      <c r="C346" s="20"/>
      <c r="D346" s="47"/>
      <c r="E346" s="206"/>
      <c r="G346" s="152"/>
      <c r="N346" s="368"/>
      <c r="O346" s="368"/>
      <c r="P346" s="368"/>
      <c r="Q346" s="368"/>
      <c r="R346" s="368"/>
      <c r="S346" s="368"/>
      <c r="T346" s="368"/>
      <c r="U346" s="368"/>
      <c r="V346" s="368"/>
      <c r="W346" s="368"/>
      <c r="X346" s="368"/>
      <c r="Y346" s="368"/>
      <c r="Z346" s="368"/>
      <c r="AA346" s="368"/>
      <c r="AB346" s="368"/>
    </row>
    <row r="347" spans="3:28" ht="18.95" customHeight="1" x14ac:dyDescent="0.3">
      <c r="C347" s="20"/>
      <c r="D347" s="47"/>
      <c r="E347" s="206"/>
      <c r="G347" s="152"/>
      <c r="N347" s="368"/>
      <c r="O347" s="368"/>
      <c r="P347" s="368"/>
      <c r="Q347" s="368"/>
      <c r="R347" s="368"/>
      <c r="S347" s="368"/>
      <c r="T347" s="368"/>
      <c r="U347" s="368"/>
      <c r="V347" s="368"/>
      <c r="W347" s="368"/>
      <c r="X347" s="368"/>
      <c r="Y347" s="368"/>
      <c r="Z347" s="368"/>
      <c r="AA347" s="368"/>
      <c r="AB347" s="368"/>
    </row>
    <row r="348" spans="3:28" ht="18.95" customHeight="1" x14ac:dyDescent="0.3">
      <c r="C348" s="20"/>
      <c r="D348" s="47"/>
      <c r="E348" s="206"/>
      <c r="G348" s="152"/>
      <c r="N348" s="368"/>
      <c r="O348" s="368"/>
      <c r="P348" s="368"/>
      <c r="Q348" s="368"/>
      <c r="R348" s="368"/>
      <c r="S348" s="368"/>
      <c r="T348" s="368"/>
      <c r="U348" s="368"/>
      <c r="V348" s="368"/>
      <c r="W348" s="368"/>
      <c r="X348" s="368"/>
      <c r="Y348" s="368"/>
      <c r="Z348" s="368"/>
      <c r="AA348" s="368"/>
      <c r="AB348" s="368"/>
    </row>
    <row r="349" spans="3:28" ht="18.95" customHeight="1" x14ac:dyDescent="0.3">
      <c r="C349" s="20"/>
      <c r="D349" s="47"/>
      <c r="E349" s="206"/>
      <c r="G349" s="152"/>
      <c r="N349" s="368"/>
      <c r="O349" s="368"/>
      <c r="P349" s="368"/>
      <c r="Q349" s="368"/>
      <c r="R349" s="368"/>
      <c r="S349" s="368"/>
      <c r="T349" s="368"/>
      <c r="U349" s="368"/>
      <c r="V349" s="368"/>
      <c r="W349" s="368"/>
      <c r="X349" s="368"/>
      <c r="Y349" s="368"/>
      <c r="Z349" s="368"/>
      <c r="AA349" s="368"/>
      <c r="AB349" s="368"/>
    </row>
    <row r="350" spans="3:28" ht="18.95" customHeight="1" x14ac:dyDescent="0.3">
      <c r="C350" s="20"/>
      <c r="D350" s="47"/>
      <c r="E350" s="206"/>
      <c r="G350" s="152"/>
      <c r="N350" s="368"/>
      <c r="O350" s="368"/>
      <c r="P350" s="368"/>
      <c r="Q350" s="368"/>
      <c r="R350" s="368"/>
      <c r="S350" s="368"/>
      <c r="T350" s="368"/>
      <c r="U350" s="368"/>
      <c r="V350" s="368"/>
      <c r="W350" s="368"/>
      <c r="X350" s="368"/>
      <c r="Y350" s="368"/>
      <c r="Z350" s="368"/>
      <c r="AA350" s="368"/>
      <c r="AB350" s="368"/>
    </row>
    <row r="351" spans="3:28" ht="18.95" customHeight="1" x14ac:dyDescent="0.3">
      <c r="C351" s="20"/>
      <c r="D351" s="47"/>
      <c r="E351" s="206"/>
      <c r="G351" s="152"/>
      <c r="M351" s="20"/>
      <c r="N351" s="368"/>
      <c r="O351" s="368"/>
      <c r="P351" s="368"/>
      <c r="Q351" s="368"/>
      <c r="R351" s="368"/>
      <c r="S351" s="368"/>
      <c r="T351" s="368"/>
      <c r="U351" s="368"/>
      <c r="V351" s="368"/>
      <c r="W351" s="368"/>
      <c r="X351" s="368"/>
      <c r="Y351" s="368"/>
      <c r="Z351" s="368"/>
      <c r="AA351" s="368"/>
      <c r="AB351" s="368"/>
    </row>
    <row r="352" spans="3:28" ht="18.95" customHeight="1" x14ac:dyDescent="0.3">
      <c r="C352" s="20"/>
      <c r="D352" s="47"/>
      <c r="E352" s="206"/>
      <c r="G352" s="152"/>
      <c r="M352" s="20"/>
      <c r="N352" s="368"/>
      <c r="O352" s="368"/>
      <c r="P352" s="368"/>
      <c r="Q352" s="368"/>
      <c r="R352" s="368"/>
      <c r="S352" s="368"/>
      <c r="T352" s="368"/>
      <c r="U352" s="368"/>
      <c r="V352" s="368"/>
      <c r="W352" s="368"/>
      <c r="X352" s="368"/>
      <c r="Y352" s="368"/>
      <c r="Z352" s="368"/>
      <c r="AA352" s="368"/>
      <c r="AB352" s="368"/>
    </row>
    <row r="353" spans="3:28" ht="18.95" customHeight="1" x14ac:dyDescent="0.3">
      <c r="C353" s="20"/>
      <c r="D353" s="47"/>
      <c r="E353" s="206"/>
      <c r="G353" s="152"/>
      <c r="M353" s="211"/>
      <c r="N353" s="368"/>
      <c r="O353" s="368"/>
      <c r="P353" s="368"/>
      <c r="Q353" s="368"/>
      <c r="R353" s="368"/>
      <c r="S353" s="368"/>
      <c r="T353" s="368"/>
      <c r="U353" s="368"/>
      <c r="V353" s="368"/>
      <c r="W353" s="368"/>
      <c r="X353" s="368"/>
      <c r="Y353" s="368"/>
      <c r="Z353" s="368"/>
      <c r="AA353" s="368"/>
      <c r="AB353" s="368"/>
    </row>
    <row r="354" spans="3:28" ht="18.95" customHeight="1" x14ac:dyDescent="0.3">
      <c r="C354" s="20"/>
      <c r="D354" s="47"/>
      <c r="E354" s="206"/>
      <c r="G354" s="152"/>
      <c r="M354" s="220"/>
      <c r="N354" s="368"/>
      <c r="O354" s="368"/>
      <c r="P354" s="368"/>
      <c r="Q354" s="368"/>
      <c r="R354" s="368"/>
      <c r="S354" s="368"/>
      <c r="T354" s="368"/>
      <c r="U354" s="368"/>
      <c r="V354" s="368"/>
      <c r="W354" s="368"/>
      <c r="X354" s="368"/>
      <c r="Y354" s="368"/>
      <c r="Z354" s="368"/>
      <c r="AA354" s="368"/>
      <c r="AB354" s="368"/>
    </row>
    <row r="355" spans="3:28" ht="18.95" customHeight="1" x14ac:dyDescent="0.3">
      <c r="C355" s="20"/>
      <c r="D355" s="47"/>
      <c r="E355" s="206"/>
      <c r="G355" s="152"/>
      <c r="M355" s="20"/>
      <c r="N355" s="368"/>
      <c r="O355" s="368"/>
      <c r="P355" s="368"/>
      <c r="Q355" s="368"/>
      <c r="R355" s="368"/>
      <c r="S355" s="368"/>
      <c r="T355" s="368"/>
      <c r="U355" s="368"/>
      <c r="V355" s="368"/>
      <c r="W355" s="368"/>
      <c r="X355" s="368"/>
      <c r="Y355" s="368"/>
      <c r="Z355" s="368"/>
      <c r="AA355" s="368"/>
      <c r="AB355" s="368"/>
    </row>
    <row r="356" spans="3:28" ht="18.95" customHeight="1" x14ac:dyDescent="0.3">
      <c r="C356" s="20"/>
      <c r="D356" s="47"/>
      <c r="E356" s="206"/>
      <c r="G356" s="152"/>
      <c r="M356" s="20"/>
      <c r="N356" s="368"/>
      <c r="O356" s="368"/>
      <c r="P356" s="368"/>
      <c r="Q356" s="368"/>
      <c r="R356" s="368"/>
      <c r="S356" s="368"/>
      <c r="T356" s="368"/>
      <c r="U356" s="368"/>
      <c r="V356" s="368"/>
      <c r="W356" s="368"/>
      <c r="X356" s="368"/>
      <c r="Y356" s="368"/>
      <c r="Z356" s="368"/>
      <c r="AA356" s="368"/>
      <c r="AB356" s="368"/>
    </row>
    <row r="357" spans="3:28" ht="18.95" customHeight="1" x14ac:dyDescent="0.3">
      <c r="C357" s="20"/>
      <c r="D357" s="47"/>
      <c r="E357" s="206"/>
      <c r="G357" s="152"/>
      <c r="M357" s="76"/>
      <c r="N357" s="368"/>
      <c r="O357" s="368"/>
      <c r="P357" s="368"/>
      <c r="Q357" s="368"/>
      <c r="R357" s="368"/>
      <c r="S357" s="368"/>
      <c r="T357" s="368"/>
      <c r="U357" s="368"/>
      <c r="V357" s="368"/>
      <c r="W357" s="368"/>
      <c r="X357" s="368"/>
      <c r="Y357" s="368"/>
      <c r="Z357" s="368"/>
      <c r="AA357" s="368"/>
      <c r="AB357" s="368"/>
    </row>
    <row r="358" spans="3:28" ht="18.95" customHeight="1" x14ac:dyDescent="0.3">
      <c r="C358" s="20"/>
      <c r="D358" s="47"/>
      <c r="E358" s="206"/>
      <c r="G358" s="152"/>
      <c r="M358" s="255"/>
      <c r="N358" s="368"/>
      <c r="O358" s="368"/>
      <c r="P358" s="368"/>
      <c r="Q358" s="368"/>
      <c r="R358" s="368"/>
      <c r="S358" s="368"/>
      <c r="T358" s="368"/>
      <c r="U358" s="368"/>
      <c r="V358" s="368"/>
      <c r="W358" s="368"/>
      <c r="X358" s="368"/>
      <c r="Y358" s="368"/>
      <c r="Z358" s="368"/>
      <c r="AA358" s="368"/>
      <c r="AB358" s="368"/>
    </row>
    <row r="359" spans="3:28" ht="18.95" customHeight="1" x14ac:dyDescent="0.3">
      <c r="C359" s="20"/>
      <c r="D359" s="47"/>
      <c r="E359" s="206"/>
      <c r="G359" s="152"/>
      <c r="M359" s="255"/>
      <c r="N359" s="368"/>
      <c r="O359" s="368"/>
      <c r="P359" s="368"/>
      <c r="Q359" s="368"/>
      <c r="R359" s="368"/>
      <c r="S359" s="368"/>
      <c r="T359" s="368"/>
      <c r="U359" s="368"/>
      <c r="V359" s="368"/>
      <c r="W359" s="368"/>
      <c r="X359" s="368"/>
      <c r="Y359" s="368"/>
      <c r="Z359" s="368"/>
      <c r="AA359" s="368"/>
      <c r="AB359" s="368"/>
    </row>
    <row r="360" spans="3:28" ht="18.95" customHeight="1" x14ac:dyDescent="0.3">
      <c r="C360" s="20"/>
      <c r="D360" s="47"/>
      <c r="E360" s="206"/>
      <c r="G360" s="152"/>
      <c r="M360" s="255"/>
      <c r="N360" s="368"/>
      <c r="O360" s="368"/>
      <c r="P360" s="368"/>
      <c r="Q360" s="368"/>
      <c r="R360" s="368"/>
      <c r="S360" s="368"/>
      <c r="T360" s="368"/>
      <c r="U360" s="368"/>
      <c r="V360" s="368"/>
      <c r="W360" s="368"/>
      <c r="X360" s="368"/>
      <c r="Y360" s="368"/>
      <c r="Z360" s="368"/>
      <c r="AA360" s="368"/>
      <c r="AB360" s="368"/>
    </row>
    <row r="361" spans="3:28" ht="18.95" customHeight="1" x14ac:dyDescent="0.3">
      <c r="C361" s="20"/>
      <c r="D361" s="47"/>
      <c r="E361" s="206"/>
      <c r="G361" s="152"/>
      <c r="M361" s="255"/>
      <c r="N361" s="368"/>
      <c r="O361" s="368"/>
      <c r="P361" s="368"/>
      <c r="Q361" s="368"/>
      <c r="R361" s="368"/>
      <c r="S361" s="368"/>
      <c r="T361" s="368"/>
      <c r="U361" s="368"/>
      <c r="V361" s="368"/>
      <c r="W361" s="368"/>
      <c r="X361" s="368"/>
      <c r="Y361" s="368"/>
      <c r="Z361" s="368"/>
      <c r="AA361" s="368"/>
      <c r="AB361" s="368"/>
    </row>
    <row r="362" spans="3:28" ht="18.95" customHeight="1" x14ac:dyDescent="0.3">
      <c r="C362" s="20"/>
      <c r="D362" s="47"/>
      <c r="E362" s="206"/>
      <c r="G362" s="152"/>
      <c r="M362" s="256"/>
      <c r="N362" s="368"/>
      <c r="O362" s="368"/>
      <c r="P362" s="368"/>
      <c r="Q362" s="368"/>
      <c r="R362" s="368"/>
      <c r="S362" s="368"/>
      <c r="T362" s="368"/>
      <c r="U362" s="368"/>
      <c r="V362" s="368"/>
      <c r="W362" s="368"/>
      <c r="X362" s="368"/>
      <c r="Y362" s="368"/>
      <c r="Z362" s="368"/>
      <c r="AA362" s="368"/>
      <c r="AB362" s="368"/>
    </row>
    <row r="363" spans="3:28" ht="18.95" customHeight="1" x14ac:dyDescent="0.3">
      <c r="C363" s="20"/>
      <c r="D363" s="47"/>
      <c r="E363" s="206"/>
      <c r="G363" s="152"/>
      <c r="M363" s="257"/>
      <c r="N363" s="368"/>
      <c r="O363" s="368"/>
      <c r="P363" s="368"/>
      <c r="Q363" s="368"/>
      <c r="R363" s="368"/>
      <c r="S363" s="368"/>
      <c r="T363" s="368"/>
      <c r="U363" s="368"/>
      <c r="V363" s="368"/>
      <c r="W363" s="368"/>
      <c r="X363" s="368"/>
      <c r="Y363" s="368"/>
      <c r="Z363" s="368"/>
      <c r="AA363" s="368"/>
      <c r="AB363" s="368"/>
    </row>
    <row r="364" spans="3:28" ht="18.95" customHeight="1" x14ac:dyDescent="0.3">
      <c r="C364" s="20"/>
      <c r="D364" s="47"/>
      <c r="E364" s="206"/>
      <c r="G364" s="152"/>
      <c r="M364" s="258"/>
      <c r="N364" s="368"/>
      <c r="O364" s="368"/>
      <c r="P364" s="368"/>
      <c r="Q364" s="368"/>
      <c r="R364" s="368"/>
      <c r="S364" s="368"/>
      <c r="T364" s="368"/>
      <c r="U364" s="368"/>
      <c r="V364" s="368"/>
      <c r="W364" s="368"/>
      <c r="X364" s="368"/>
      <c r="Y364" s="368"/>
      <c r="Z364" s="368"/>
      <c r="AA364" s="368"/>
      <c r="AB364" s="368"/>
    </row>
    <row r="365" spans="3:28" ht="18.95" customHeight="1" x14ac:dyDescent="0.3">
      <c r="C365" s="20"/>
      <c r="D365" s="47"/>
      <c r="E365" s="206"/>
      <c r="G365" s="152"/>
      <c r="N365" s="368"/>
      <c r="O365" s="368"/>
      <c r="P365" s="368"/>
      <c r="Q365" s="368"/>
      <c r="R365" s="368"/>
      <c r="S365" s="368"/>
      <c r="T365" s="368"/>
      <c r="U365" s="368"/>
      <c r="V365" s="368"/>
      <c r="W365" s="368"/>
      <c r="X365" s="368"/>
      <c r="Y365" s="368"/>
      <c r="Z365" s="368"/>
      <c r="AA365" s="368"/>
      <c r="AB365" s="368"/>
    </row>
    <row r="366" spans="3:28" ht="18.95" customHeight="1" x14ac:dyDescent="0.3">
      <c r="C366" s="20"/>
      <c r="D366" s="47"/>
      <c r="E366" s="206"/>
      <c r="G366" s="152"/>
      <c r="N366" s="368"/>
      <c r="O366" s="368"/>
      <c r="P366" s="368"/>
      <c r="Q366" s="368"/>
      <c r="R366" s="368"/>
      <c r="S366" s="368"/>
      <c r="T366" s="368"/>
      <c r="U366" s="368"/>
      <c r="V366" s="368"/>
      <c r="W366" s="368"/>
      <c r="X366" s="368"/>
      <c r="Y366" s="368"/>
      <c r="Z366" s="368"/>
      <c r="AA366" s="368"/>
      <c r="AB366" s="368"/>
    </row>
    <row r="367" spans="3:28" ht="18.95" customHeight="1" x14ac:dyDescent="0.3">
      <c r="C367" s="20"/>
      <c r="D367" s="47"/>
      <c r="E367" s="206"/>
      <c r="G367" s="152"/>
      <c r="N367" s="368"/>
      <c r="O367" s="368"/>
      <c r="P367" s="368"/>
      <c r="Q367" s="368"/>
      <c r="R367" s="368"/>
      <c r="S367" s="368"/>
      <c r="T367" s="368"/>
      <c r="U367" s="368"/>
      <c r="V367" s="368"/>
      <c r="W367" s="368"/>
      <c r="X367" s="368"/>
      <c r="Y367" s="368"/>
      <c r="Z367" s="368"/>
      <c r="AA367" s="368"/>
      <c r="AB367" s="368"/>
    </row>
    <row r="368" spans="3:28" ht="18.95" customHeight="1" x14ac:dyDescent="0.3">
      <c r="C368" s="20"/>
      <c r="D368" s="47"/>
      <c r="E368" s="206"/>
      <c r="G368" s="152"/>
      <c r="N368" s="368"/>
      <c r="O368" s="368"/>
      <c r="P368" s="368"/>
      <c r="Q368" s="368"/>
      <c r="R368" s="368"/>
      <c r="S368" s="368"/>
      <c r="T368" s="368"/>
      <c r="U368" s="368"/>
      <c r="V368" s="368"/>
      <c r="W368" s="368"/>
      <c r="X368" s="368"/>
      <c r="Y368" s="368"/>
      <c r="Z368" s="368"/>
      <c r="AA368" s="368"/>
      <c r="AB368" s="368"/>
    </row>
    <row r="369" spans="3:28" ht="18.95" customHeight="1" x14ac:dyDescent="0.3">
      <c r="C369" s="20"/>
      <c r="D369" s="47"/>
      <c r="E369" s="206"/>
      <c r="G369" s="152"/>
      <c r="N369" s="368"/>
      <c r="O369" s="368"/>
      <c r="P369" s="368"/>
      <c r="Q369" s="368"/>
      <c r="R369" s="368"/>
      <c r="S369" s="368"/>
      <c r="T369" s="368"/>
      <c r="U369" s="368"/>
      <c r="V369" s="368"/>
      <c r="W369" s="368"/>
      <c r="X369" s="368"/>
      <c r="Y369" s="368"/>
      <c r="Z369" s="368"/>
      <c r="AA369" s="368"/>
      <c r="AB369" s="368"/>
    </row>
    <row r="370" spans="3:28" ht="18.95" customHeight="1" x14ac:dyDescent="0.3">
      <c r="C370" s="20"/>
      <c r="D370" s="47"/>
      <c r="E370" s="206"/>
      <c r="G370" s="152"/>
      <c r="N370" s="368"/>
      <c r="O370" s="368"/>
      <c r="P370" s="368"/>
      <c r="Q370" s="368"/>
      <c r="R370" s="368"/>
      <c r="S370" s="368"/>
      <c r="T370" s="368"/>
      <c r="U370" s="368"/>
      <c r="V370" s="368"/>
      <c r="W370" s="368"/>
      <c r="X370" s="368"/>
      <c r="Y370" s="368"/>
      <c r="Z370" s="368"/>
      <c r="AA370" s="368"/>
      <c r="AB370" s="368"/>
    </row>
    <row r="371" spans="3:28" ht="18.95" customHeight="1" x14ac:dyDescent="0.3">
      <c r="C371" s="20"/>
      <c r="D371" s="47"/>
      <c r="E371" s="206"/>
      <c r="G371" s="152"/>
      <c r="N371" s="368"/>
      <c r="O371" s="368"/>
      <c r="P371" s="368"/>
      <c r="Q371" s="368"/>
      <c r="R371" s="368"/>
      <c r="S371" s="368"/>
      <c r="T371" s="368"/>
      <c r="U371" s="368"/>
      <c r="V371" s="368"/>
      <c r="W371" s="368"/>
      <c r="X371" s="368"/>
      <c r="Y371" s="368"/>
      <c r="Z371" s="368"/>
      <c r="AA371" s="368"/>
      <c r="AB371" s="368"/>
    </row>
    <row r="372" spans="3:28" ht="18.95" customHeight="1" x14ac:dyDescent="0.3">
      <c r="C372" s="20"/>
      <c r="D372" s="47"/>
      <c r="E372" s="206"/>
      <c r="G372" s="152"/>
      <c r="N372" s="368"/>
      <c r="O372" s="368"/>
      <c r="P372" s="368"/>
      <c r="Q372" s="368"/>
      <c r="R372" s="368"/>
      <c r="S372" s="368"/>
      <c r="T372" s="368"/>
      <c r="U372" s="368"/>
      <c r="V372" s="368"/>
      <c r="W372" s="368"/>
      <c r="X372" s="368"/>
      <c r="Y372" s="368"/>
      <c r="Z372" s="368"/>
      <c r="AA372" s="368"/>
      <c r="AB372" s="368"/>
    </row>
    <row r="373" spans="3:28" ht="18.95" customHeight="1" x14ac:dyDescent="0.3">
      <c r="C373" s="20"/>
      <c r="D373" s="47"/>
      <c r="E373" s="206"/>
      <c r="G373" s="152"/>
      <c r="N373" s="368"/>
      <c r="O373" s="368"/>
      <c r="P373" s="368"/>
      <c r="Q373" s="368"/>
      <c r="R373" s="368"/>
      <c r="S373" s="368"/>
      <c r="T373" s="368"/>
      <c r="U373" s="368"/>
      <c r="V373" s="368"/>
      <c r="W373" s="368"/>
      <c r="X373" s="368"/>
      <c r="Y373" s="368"/>
      <c r="Z373" s="368"/>
      <c r="AA373" s="368"/>
      <c r="AB373" s="368"/>
    </row>
    <row r="374" spans="3:28" ht="18.95" customHeight="1" x14ac:dyDescent="0.3">
      <c r="C374" s="20"/>
      <c r="D374" s="47"/>
      <c r="E374" s="206"/>
      <c r="G374" s="152"/>
      <c r="N374" s="368"/>
      <c r="O374" s="368"/>
      <c r="P374" s="368"/>
      <c r="Q374" s="368"/>
      <c r="R374" s="368"/>
      <c r="S374" s="368"/>
      <c r="T374" s="368"/>
      <c r="U374" s="368"/>
      <c r="V374" s="368"/>
      <c r="W374" s="368"/>
      <c r="X374" s="368"/>
      <c r="Y374" s="368"/>
      <c r="Z374" s="368"/>
      <c r="AA374" s="368"/>
      <c r="AB374" s="368"/>
    </row>
    <row r="375" spans="3:28" ht="18.95" customHeight="1" x14ac:dyDescent="0.3">
      <c r="C375" s="20"/>
      <c r="D375" s="47"/>
      <c r="E375" s="206"/>
      <c r="G375" s="152"/>
      <c r="N375" s="368"/>
      <c r="O375" s="368"/>
      <c r="P375" s="368"/>
      <c r="Q375" s="368"/>
      <c r="R375" s="368"/>
      <c r="S375" s="368"/>
      <c r="T375" s="368"/>
      <c r="U375" s="368"/>
      <c r="V375" s="368"/>
      <c r="W375" s="368"/>
      <c r="X375" s="368"/>
      <c r="Y375" s="368"/>
      <c r="Z375" s="368"/>
      <c r="AA375" s="368"/>
      <c r="AB375" s="368"/>
    </row>
    <row r="376" spans="3:28" ht="18.95" customHeight="1" x14ac:dyDescent="0.3">
      <c r="C376" s="20"/>
      <c r="D376" s="47"/>
      <c r="E376" s="206"/>
      <c r="G376" s="152"/>
      <c r="N376" s="368"/>
      <c r="O376" s="368"/>
      <c r="P376" s="368"/>
      <c r="Q376" s="368"/>
      <c r="R376" s="368"/>
      <c r="S376" s="368"/>
      <c r="T376" s="368"/>
      <c r="U376" s="368"/>
      <c r="V376" s="368"/>
      <c r="W376" s="368"/>
      <c r="X376" s="368"/>
      <c r="Y376" s="368"/>
      <c r="Z376" s="368"/>
      <c r="AA376" s="368"/>
      <c r="AB376" s="368"/>
    </row>
    <row r="377" spans="3:28" ht="18.95" customHeight="1" x14ac:dyDescent="0.3">
      <c r="C377" s="20"/>
      <c r="D377" s="47"/>
      <c r="E377" s="206"/>
      <c r="G377" s="152"/>
      <c r="N377" s="368"/>
      <c r="O377" s="368"/>
      <c r="P377" s="368"/>
      <c r="Q377" s="368"/>
      <c r="R377" s="368"/>
      <c r="S377" s="368"/>
      <c r="T377" s="368"/>
      <c r="U377" s="368"/>
      <c r="V377" s="368"/>
      <c r="W377" s="368"/>
      <c r="X377" s="368"/>
      <c r="Y377" s="368"/>
      <c r="Z377" s="368"/>
      <c r="AA377" s="368"/>
      <c r="AB377" s="368"/>
    </row>
    <row r="378" spans="3:28" ht="18.95" customHeight="1" x14ac:dyDescent="0.3">
      <c r="C378" s="20"/>
      <c r="D378" s="47"/>
      <c r="E378" s="206"/>
      <c r="G378" s="152"/>
      <c r="N378" s="368"/>
      <c r="O378" s="368"/>
      <c r="P378" s="368"/>
      <c r="Q378" s="368"/>
      <c r="R378" s="368"/>
      <c r="S378" s="368"/>
      <c r="T378" s="368"/>
      <c r="U378" s="368"/>
      <c r="V378" s="368"/>
      <c r="W378" s="368"/>
      <c r="X378" s="368"/>
      <c r="Y378" s="368"/>
      <c r="Z378" s="368"/>
      <c r="AA378" s="368"/>
      <c r="AB378" s="368"/>
    </row>
    <row r="379" spans="3:28" ht="18.95" customHeight="1" x14ac:dyDescent="0.3">
      <c r="C379" s="20"/>
      <c r="D379" s="47"/>
      <c r="E379" s="206"/>
      <c r="G379" s="152"/>
      <c r="N379" s="368"/>
      <c r="O379" s="368"/>
      <c r="P379" s="368"/>
      <c r="Q379" s="368"/>
      <c r="R379" s="368"/>
      <c r="S379" s="368"/>
      <c r="T379" s="368"/>
      <c r="U379" s="368"/>
      <c r="V379" s="368"/>
      <c r="W379" s="368"/>
      <c r="X379" s="368"/>
      <c r="Y379" s="368"/>
      <c r="Z379" s="368"/>
      <c r="AA379" s="368"/>
      <c r="AB379" s="368"/>
    </row>
    <row r="380" spans="3:28" ht="18.95" customHeight="1" x14ac:dyDescent="0.3">
      <c r="C380" s="20"/>
      <c r="D380" s="47"/>
      <c r="E380" s="206"/>
      <c r="G380" s="152"/>
      <c r="N380" s="368"/>
      <c r="O380" s="368"/>
      <c r="P380" s="368"/>
      <c r="Q380" s="368"/>
      <c r="R380" s="368"/>
      <c r="S380" s="368"/>
      <c r="T380" s="368"/>
      <c r="U380" s="368"/>
      <c r="V380" s="368"/>
      <c r="W380" s="368"/>
      <c r="X380" s="368"/>
      <c r="Y380" s="368"/>
      <c r="Z380" s="368"/>
      <c r="AA380" s="368"/>
      <c r="AB380" s="368"/>
    </row>
    <row r="381" spans="3:28" ht="18.95" customHeight="1" x14ac:dyDescent="0.3">
      <c r="C381" s="20"/>
      <c r="D381" s="47"/>
      <c r="E381" s="206"/>
      <c r="G381" s="152"/>
      <c r="N381" s="368"/>
      <c r="O381" s="368"/>
      <c r="P381" s="368"/>
      <c r="Q381" s="368"/>
      <c r="R381" s="368"/>
      <c r="S381" s="368"/>
      <c r="T381" s="368"/>
      <c r="U381" s="368"/>
      <c r="V381" s="368"/>
      <c r="W381" s="368"/>
      <c r="X381" s="368"/>
      <c r="Y381" s="368"/>
      <c r="Z381" s="368"/>
      <c r="AA381" s="368"/>
      <c r="AB381" s="368"/>
    </row>
    <row r="382" spans="3:28" ht="18.95" customHeight="1" x14ac:dyDescent="0.3">
      <c r="C382" s="20"/>
      <c r="D382" s="47"/>
      <c r="E382" s="206"/>
      <c r="G382" s="152"/>
      <c r="N382" s="368"/>
      <c r="O382" s="368"/>
      <c r="P382" s="368"/>
      <c r="Q382" s="368"/>
      <c r="R382" s="368"/>
      <c r="S382" s="368"/>
      <c r="T382" s="368"/>
      <c r="U382" s="368"/>
      <c r="V382" s="368"/>
      <c r="W382" s="368"/>
      <c r="X382" s="368"/>
      <c r="Y382" s="368"/>
      <c r="Z382" s="368"/>
      <c r="AA382" s="368"/>
      <c r="AB382" s="368"/>
    </row>
    <row r="383" spans="3:28" ht="18.95" customHeight="1" x14ac:dyDescent="0.3">
      <c r="C383" s="20"/>
      <c r="D383" s="47"/>
      <c r="E383" s="206"/>
      <c r="G383" s="152"/>
      <c r="N383" s="368"/>
      <c r="O383" s="368"/>
      <c r="P383" s="368"/>
      <c r="Q383" s="368"/>
      <c r="R383" s="368"/>
      <c r="S383" s="368"/>
      <c r="T383" s="368"/>
      <c r="U383" s="368"/>
      <c r="V383" s="368"/>
      <c r="W383" s="368"/>
      <c r="X383" s="368"/>
      <c r="Y383" s="368"/>
      <c r="Z383" s="368"/>
      <c r="AA383" s="368"/>
      <c r="AB383" s="368"/>
    </row>
    <row r="384" spans="3:28" ht="18.95" customHeight="1" x14ac:dyDescent="0.3">
      <c r="C384" s="20"/>
      <c r="D384" s="47"/>
      <c r="E384" s="206"/>
      <c r="G384" s="152"/>
      <c r="N384" s="368"/>
      <c r="O384" s="368"/>
      <c r="P384" s="368"/>
      <c r="Q384" s="368"/>
      <c r="R384" s="368"/>
      <c r="S384" s="368"/>
      <c r="T384" s="368"/>
      <c r="U384" s="368"/>
      <c r="V384" s="368"/>
      <c r="W384" s="368"/>
      <c r="X384" s="368"/>
      <c r="Y384" s="368"/>
      <c r="Z384" s="368"/>
      <c r="AA384" s="368"/>
      <c r="AB384" s="368"/>
    </row>
    <row r="385" spans="3:28" ht="18.95" customHeight="1" x14ac:dyDescent="0.3">
      <c r="C385" s="20"/>
      <c r="D385" s="47"/>
      <c r="E385" s="206"/>
      <c r="G385" s="152"/>
      <c r="N385" s="368"/>
      <c r="O385" s="368"/>
      <c r="P385" s="368"/>
      <c r="Q385" s="368"/>
      <c r="R385" s="368"/>
      <c r="S385" s="368"/>
      <c r="T385" s="368"/>
      <c r="U385" s="368"/>
      <c r="V385" s="368"/>
      <c r="W385" s="368"/>
      <c r="X385" s="368"/>
      <c r="Y385" s="368"/>
      <c r="Z385" s="368"/>
      <c r="AA385" s="368"/>
      <c r="AB385" s="368"/>
    </row>
    <row r="386" spans="3:28" ht="18.95" customHeight="1" x14ac:dyDescent="0.3">
      <c r="C386" s="20"/>
      <c r="D386" s="47"/>
      <c r="E386" s="206"/>
      <c r="G386" s="152"/>
      <c r="N386" s="368"/>
      <c r="O386" s="368"/>
      <c r="P386" s="368"/>
      <c r="Q386" s="368"/>
      <c r="R386" s="368"/>
      <c r="S386" s="368"/>
      <c r="T386" s="368"/>
      <c r="U386" s="368"/>
      <c r="V386" s="368"/>
      <c r="W386" s="368"/>
      <c r="X386" s="368"/>
      <c r="Y386" s="368"/>
      <c r="Z386" s="368"/>
      <c r="AA386" s="368"/>
      <c r="AB386" s="368"/>
    </row>
    <row r="387" spans="3:28" ht="18.95" customHeight="1" x14ac:dyDescent="0.3">
      <c r="C387" s="20"/>
      <c r="D387" s="47"/>
      <c r="E387" s="206"/>
      <c r="G387" s="152"/>
      <c r="N387" s="368"/>
      <c r="O387" s="368"/>
      <c r="P387" s="368"/>
      <c r="Q387" s="368"/>
      <c r="R387" s="368"/>
      <c r="S387" s="368"/>
      <c r="T387" s="368"/>
      <c r="U387" s="368"/>
      <c r="V387" s="368"/>
      <c r="W387" s="368"/>
      <c r="X387" s="368"/>
      <c r="Y387" s="368"/>
      <c r="Z387" s="368"/>
      <c r="AA387" s="368"/>
      <c r="AB387" s="368"/>
    </row>
    <row r="388" spans="3:28" ht="18.95" customHeight="1" x14ac:dyDescent="0.3">
      <c r="C388" s="20"/>
      <c r="D388" s="47"/>
      <c r="E388" s="206"/>
      <c r="G388" s="152"/>
      <c r="N388" s="368"/>
      <c r="O388" s="368"/>
      <c r="P388" s="368"/>
      <c r="Q388" s="368"/>
      <c r="R388" s="368"/>
      <c r="S388" s="368"/>
      <c r="T388" s="368"/>
      <c r="U388" s="368"/>
      <c r="V388" s="368"/>
      <c r="W388" s="368"/>
      <c r="X388" s="368"/>
      <c r="Y388" s="368"/>
      <c r="Z388" s="368"/>
      <c r="AA388" s="368"/>
      <c r="AB388" s="368"/>
    </row>
    <row r="389" spans="3:28" ht="18.95" customHeight="1" x14ac:dyDescent="0.3">
      <c r="C389" s="20"/>
      <c r="D389" s="47"/>
      <c r="E389" s="206"/>
      <c r="G389" s="152"/>
      <c r="N389" s="368"/>
      <c r="O389" s="368"/>
      <c r="P389" s="368"/>
      <c r="Q389" s="368"/>
      <c r="R389" s="368"/>
      <c r="S389" s="368"/>
      <c r="T389" s="368"/>
      <c r="U389" s="368"/>
      <c r="V389" s="368"/>
      <c r="W389" s="368"/>
      <c r="X389" s="368"/>
      <c r="Y389" s="368"/>
      <c r="Z389" s="368"/>
      <c r="AA389" s="368"/>
      <c r="AB389" s="368"/>
    </row>
    <row r="390" spans="3:28" ht="18.95" customHeight="1" x14ac:dyDescent="0.3">
      <c r="C390" s="20"/>
      <c r="D390" s="47"/>
      <c r="E390" s="206"/>
      <c r="G390" s="152"/>
      <c r="N390" s="368"/>
      <c r="O390" s="368"/>
      <c r="P390" s="368"/>
      <c r="Q390" s="368"/>
      <c r="R390" s="368"/>
      <c r="S390" s="368"/>
      <c r="T390" s="368"/>
      <c r="U390" s="368"/>
      <c r="V390" s="368"/>
      <c r="W390" s="368"/>
      <c r="X390" s="368"/>
      <c r="Y390" s="368"/>
      <c r="Z390" s="368"/>
      <c r="AA390" s="368"/>
      <c r="AB390" s="368"/>
    </row>
    <row r="391" spans="3:28" ht="18.95" customHeight="1" x14ac:dyDescent="0.3">
      <c r="C391" s="20"/>
      <c r="D391" s="47"/>
      <c r="E391" s="206"/>
      <c r="G391" s="152"/>
      <c r="N391" s="368"/>
      <c r="O391" s="368"/>
      <c r="P391" s="368"/>
      <c r="Q391" s="368"/>
      <c r="R391" s="368"/>
      <c r="S391" s="368"/>
      <c r="T391" s="368"/>
      <c r="U391" s="368"/>
      <c r="V391" s="368"/>
      <c r="W391" s="368"/>
      <c r="X391" s="368"/>
      <c r="Y391" s="368"/>
      <c r="Z391" s="368"/>
      <c r="AA391" s="368"/>
      <c r="AB391" s="368"/>
    </row>
    <row r="392" spans="3:28" ht="18.95" customHeight="1" x14ac:dyDescent="0.3">
      <c r="C392" s="20"/>
      <c r="D392" s="47"/>
      <c r="E392" s="206"/>
      <c r="G392" s="152"/>
      <c r="N392" s="368"/>
      <c r="O392" s="368"/>
      <c r="P392" s="368"/>
      <c r="Q392" s="368"/>
      <c r="R392" s="368"/>
      <c r="S392" s="368"/>
      <c r="T392" s="368"/>
      <c r="U392" s="368"/>
      <c r="V392" s="368"/>
      <c r="W392" s="368"/>
      <c r="X392" s="368"/>
      <c r="Y392" s="368"/>
      <c r="Z392" s="368"/>
      <c r="AA392" s="368"/>
      <c r="AB392" s="368"/>
    </row>
    <row r="393" spans="3:28" ht="18.95" customHeight="1" x14ac:dyDescent="0.3">
      <c r="C393" s="20"/>
      <c r="D393" s="47"/>
      <c r="E393" s="206"/>
      <c r="G393" s="152"/>
      <c r="N393" s="368"/>
      <c r="O393" s="368"/>
      <c r="P393" s="368"/>
      <c r="Q393" s="368"/>
      <c r="R393" s="368"/>
      <c r="S393" s="368"/>
      <c r="T393" s="368"/>
      <c r="U393" s="368"/>
      <c r="V393" s="368"/>
      <c r="W393" s="368"/>
      <c r="X393" s="368"/>
      <c r="Y393" s="368"/>
      <c r="Z393" s="368"/>
      <c r="AA393" s="368"/>
      <c r="AB393" s="368"/>
    </row>
    <row r="394" spans="3:28" ht="18.95" customHeight="1" x14ac:dyDescent="0.3">
      <c r="C394" s="20"/>
      <c r="D394" s="47"/>
      <c r="E394" s="206"/>
      <c r="G394" s="152"/>
      <c r="N394" s="368"/>
      <c r="O394" s="368"/>
      <c r="P394" s="368"/>
      <c r="Q394" s="368"/>
      <c r="R394" s="368"/>
      <c r="S394" s="368"/>
      <c r="T394" s="368"/>
      <c r="U394" s="368"/>
      <c r="V394" s="368"/>
      <c r="W394" s="368"/>
      <c r="X394" s="368"/>
      <c r="Y394" s="368"/>
      <c r="Z394" s="368"/>
      <c r="AA394" s="368"/>
      <c r="AB394" s="368"/>
    </row>
    <row r="395" spans="3:28" ht="18.95" customHeight="1" x14ac:dyDescent="0.3">
      <c r="C395" s="20"/>
      <c r="D395" s="47"/>
      <c r="E395" s="206"/>
      <c r="G395" s="152"/>
      <c r="N395" s="368"/>
      <c r="O395" s="368"/>
      <c r="P395" s="368"/>
      <c r="Q395" s="368"/>
      <c r="R395" s="368"/>
      <c r="S395" s="368"/>
      <c r="T395" s="368"/>
      <c r="U395" s="368"/>
      <c r="V395" s="368"/>
      <c r="W395" s="368"/>
      <c r="X395" s="368"/>
      <c r="Y395" s="368"/>
      <c r="Z395" s="368"/>
      <c r="AA395" s="368"/>
      <c r="AB395" s="368"/>
    </row>
    <row r="396" spans="3:28" ht="18.95" customHeight="1" x14ac:dyDescent="0.3">
      <c r="C396" s="20"/>
      <c r="D396" s="47"/>
      <c r="E396" s="206"/>
      <c r="G396" s="152"/>
      <c r="N396" s="368"/>
      <c r="O396" s="368"/>
      <c r="P396" s="368"/>
      <c r="Q396" s="368"/>
      <c r="R396" s="368"/>
      <c r="S396" s="368"/>
      <c r="T396" s="368"/>
      <c r="U396" s="368"/>
      <c r="V396" s="368"/>
      <c r="W396" s="368"/>
      <c r="X396" s="368"/>
      <c r="Y396" s="368"/>
      <c r="Z396" s="368"/>
      <c r="AA396" s="368"/>
      <c r="AB396" s="368"/>
    </row>
    <row r="397" spans="3:28" ht="18.95" customHeight="1" x14ac:dyDescent="0.3">
      <c r="C397" s="20"/>
      <c r="D397" s="47"/>
      <c r="E397" s="206"/>
      <c r="G397" s="152"/>
      <c r="N397" s="368"/>
      <c r="O397" s="368"/>
      <c r="P397" s="368"/>
      <c r="Q397" s="368"/>
      <c r="R397" s="368"/>
      <c r="S397" s="368"/>
      <c r="T397" s="368"/>
      <c r="U397" s="368"/>
      <c r="V397" s="368"/>
      <c r="W397" s="368"/>
      <c r="X397" s="368"/>
      <c r="Y397" s="368"/>
      <c r="Z397" s="368"/>
      <c r="AA397" s="368"/>
      <c r="AB397" s="368"/>
    </row>
    <row r="398" spans="3:28" ht="18.95" customHeight="1" x14ac:dyDescent="0.3">
      <c r="C398" s="20"/>
      <c r="D398" s="47"/>
      <c r="E398" s="206"/>
      <c r="G398" s="152"/>
      <c r="N398" s="368"/>
      <c r="O398" s="368"/>
      <c r="P398" s="368"/>
      <c r="Q398" s="368"/>
      <c r="R398" s="368"/>
      <c r="S398" s="368"/>
      <c r="T398" s="368"/>
      <c r="U398" s="368"/>
      <c r="V398" s="368"/>
      <c r="W398" s="368"/>
      <c r="X398" s="368"/>
      <c r="Y398" s="368"/>
      <c r="Z398" s="368"/>
      <c r="AA398" s="368"/>
      <c r="AB398" s="368"/>
    </row>
    <row r="399" spans="3:28" ht="18.95" customHeight="1" x14ac:dyDescent="0.3">
      <c r="C399" s="20"/>
      <c r="D399" s="47"/>
      <c r="E399" s="206"/>
      <c r="G399" s="152"/>
      <c r="N399" s="368"/>
      <c r="O399" s="368"/>
      <c r="P399" s="368"/>
      <c r="Q399" s="368"/>
      <c r="R399" s="368"/>
      <c r="S399" s="368"/>
      <c r="T399" s="368"/>
      <c r="U399" s="368"/>
      <c r="V399" s="368"/>
      <c r="W399" s="368"/>
      <c r="X399" s="368"/>
      <c r="Y399" s="368"/>
      <c r="Z399" s="368"/>
      <c r="AA399" s="368"/>
      <c r="AB399" s="368"/>
    </row>
    <row r="400" spans="3:28" ht="18.95" customHeight="1" x14ac:dyDescent="0.3">
      <c r="C400" s="20"/>
      <c r="D400" s="47"/>
      <c r="E400" s="206"/>
      <c r="G400" s="152"/>
      <c r="N400" s="368"/>
      <c r="O400" s="368"/>
      <c r="P400" s="368"/>
      <c r="Q400" s="368"/>
      <c r="R400" s="368"/>
      <c r="S400" s="368"/>
      <c r="T400" s="368"/>
      <c r="U400" s="368"/>
      <c r="V400" s="368"/>
      <c r="W400" s="368"/>
      <c r="X400" s="368"/>
      <c r="Y400" s="368"/>
      <c r="Z400" s="368"/>
      <c r="AA400" s="368"/>
      <c r="AB400" s="368"/>
    </row>
    <row r="401" spans="3:28" ht="18.95" customHeight="1" x14ac:dyDescent="0.3">
      <c r="C401" s="20"/>
      <c r="D401" s="47"/>
      <c r="E401" s="206"/>
      <c r="G401" s="152"/>
      <c r="N401" s="368"/>
      <c r="O401" s="368"/>
      <c r="P401" s="368"/>
      <c r="Q401" s="368"/>
      <c r="R401" s="368"/>
      <c r="S401" s="368"/>
      <c r="T401" s="368"/>
      <c r="U401" s="368"/>
      <c r="V401" s="368"/>
      <c r="W401" s="368"/>
      <c r="X401" s="368"/>
      <c r="Y401" s="368"/>
      <c r="Z401" s="368"/>
      <c r="AA401" s="368"/>
      <c r="AB401" s="368"/>
    </row>
    <row r="402" spans="3:28" ht="18.95" customHeight="1" x14ac:dyDescent="0.3">
      <c r="C402" s="20"/>
      <c r="D402" s="47"/>
      <c r="E402" s="206"/>
      <c r="G402" s="152"/>
      <c r="N402" s="368"/>
      <c r="O402" s="368"/>
      <c r="P402" s="368"/>
      <c r="Q402" s="368"/>
      <c r="R402" s="368"/>
      <c r="S402" s="368"/>
      <c r="T402" s="368"/>
      <c r="U402" s="368"/>
      <c r="V402" s="368"/>
      <c r="W402" s="368"/>
      <c r="X402" s="368"/>
      <c r="Y402" s="368"/>
      <c r="Z402" s="368"/>
      <c r="AA402" s="368"/>
      <c r="AB402" s="368"/>
    </row>
    <row r="403" spans="3:28" ht="18.95" customHeight="1" x14ac:dyDescent="0.3">
      <c r="C403" s="20"/>
      <c r="D403" s="47"/>
      <c r="E403" s="206"/>
      <c r="G403" s="152"/>
      <c r="N403" s="368"/>
      <c r="O403" s="368"/>
      <c r="P403" s="368"/>
      <c r="Q403" s="368"/>
      <c r="R403" s="368"/>
      <c r="S403" s="368"/>
      <c r="T403" s="368"/>
      <c r="U403" s="368"/>
      <c r="V403" s="368"/>
      <c r="W403" s="368"/>
      <c r="X403" s="368"/>
      <c r="Y403" s="368"/>
      <c r="Z403" s="368"/>
      <c r="AA403" s="368"/>
      <c r="AB403" s="368"/>
    </row>
    <row r="404" spans="3:28" ht="18.95" customHeight="1" x14ac:dyDescent="0.3">
      <c r="C404" s="20"/>
      <c r="D404" s="47"/>
      <c r="E404" s="206"/>
      <c r="G404" s="152"/>
      <c r="N404" s="368"/>
      <c r="O404" s="368"/>
      <c r="P404" s="368"/>
      <c r="Q404" s="368"/>
      <c r="R404" s="368"/>
      <c r="S404" s="368"/>
      <c r="T404" s="368"/>
      <c r="U404" s="368"/>
      <c r="V404" s="368"/>
      <c r="W404" s="368"/>
      <c r="X404" s="368"/>
      <c r="Y404" s="368"/>
      <c r="Z404" s="368"/>
      <c r="AA404" s="368"/>
      <c r="AB404" s="368"/>
    </row>
    <row r="405" spans="3:28" ht="18.95" customHeight="1" x14ac:dyDescent="0.3">
      <c r="C405" s="20"/>
      <c r="D405" s="47"/>
      <c r="E405" s="206"/>
      <c r="G405" s="152"/>
      <c r="N405" s="368"/>
      <c r="O405" s="368"/>
      <c r="P405" s="368"/>
      <c r="Q405" s="368"/>
      <c r="R405" s="368"/>
      <c r="S405" s="368"/>
      <c r="T405" s="368"/>
      <c r="U405" s="368"/>
      <c r="V405" s="368"/>
      <c r="W405" s="368"/>
      <c r="X405" s="368"/>
      <c r="Y405" s="368"/>
      <c r="Z405" s="368"/>
      <c r="AA405" s="368"/>
      <c r="AB405" s="368"/>
    </row>
    <row r="406" spans="3:28" ht="18.95" customHeight="1" x14ac:dyDescent="0.3">
      <c r="C406" s="20"/>
      <c r="D406" s="47"/>
      <c r="E406" s="206"/>
      <c r="G406" s="152"/>
      <c r="N406" s="368"/>
      <c r="O406" s="368"/>
      <c r="P406" s="368"/>
      <c r="Q406" s="368"/>
      <c r="R406" s="368"/>
      <c r="S406" s="368"/>
      <c r="T406" s="368"/>
      <c r="U406" s="368"/>
      <c r="V406" s="368"/>
      <c r="W406" s="368"/>
      <c r="X406" s="368"/>
      <c r="Y406" s="368"/>
      <c r="Z406" s="368"/>
      <c r="AA406" s="368"/>
      <c r="AB406" s="368"/>
    </row>
    <row r="407" spans="3:28" ht="18.95" customHeight="1" x14ac:dyDescent="0.3">
      <c r="C407" s="20"/>
      <c r="D407" s="47"/>
      <c r="E407" s="206"/>
      <c r="G407" s="152"/>
      <c r="N407" s="368"/>
      <c r="O407" s="368"/>
      <c r="P407" s="368"/>
      <c r="Q407" s="368"/>
      <c r="R407" s="368"/>
      <c r="S407" s="368"/>
      <c r="T407" s="368"/>
      <c r="U407" s="368"/>
      <c r="V407" s="368"/>
      <c r="W407" s="368"/>
      <c r="X407" s="368"/>
      <c r="Y407" s="368"/>
      <c r="Z407" s="368"/>
      <c r="AA407" s="368"/>
      <c r="AB407" s="368"/>
    </row>
    <row r="408" spans="3:28" ht="18.95" customHeight="1" x14ac:dyDescent="0.3">
      <c r="C408" s="20"/>
      <c r="D408" s="47"/>
      <c r="E408" s="206"/>
      <c r="G408" s="152"/>
      <c r="N408" s="368"/>
      <c r="O408" s="368"/>
      <c r="P408" s="368"/>
      <c r="Q408" s="368"/>
      <c r="R408" s="368"/>
      <c r="S408" s="368"/>
      <c r="T408" s="368"/>
      <c r="U408" s="368"/>
      <c r="V408" s="368"/>
      <c r="W408" s="368"/>
      <c r="X408" s="368"/>
      <c r="Y408" s="368"/>
      <c r="Z408" s="368"/>
      <c r="AA408" s="368"/>
      <c r="AB408" s="368"/>
    </row>
    <row r="409" spans="3:28" ht="18.95" customHeight="1" x14ac:dyDescent="0.3">
      <c r="C409" s="20"/>
      <c r="D409" s="47"/>
      <c r="E409" s="206"/>
      <c r="G409" s="152"/>
      <c r="N409" s="368"/>
      <c r="O409" s="368"/>
      <c r="P409" s="368"/>
      <c r="Q409" s="368"/>
      <c r="R409" s="368"/>
      <c r="S409" s="368"/>
      <c r="T409" s="368"/>
      <c r="U409" s="368"/>
      <c r="V409" s="368"/>
      <c r="W409" s="368"/>
      <c r="X409" s="368"/>
      <c r="Y409" s="368"/>
      <c r="Z409" s="368"/>
      <c r="AA409" s="368"/>
      <c r="AB409" s="368"/>
    </row>
    <row r="410" spans="3:28" ht="18.95" customHeight="1" x14ac:dyDescent="0.3">
      <c r="C410" s="20"/>
      <c r="D410" s="47"/>
      <c r="E410" s="206"/>
      <c r="G410" s="152"/>
      <c r="N410" s="368"/>
      <c r="O410" s="368"/>
      <c r="P410" s="368"/>
      <c r="Q410" s="368"/>
      <c r="R410" s="368"/>
      <c r="S410" s="368"/>
      <c r="T410" s="368"/>
      <c r="U410" s="368"/>
      <c r="V410" s="368"/>
      <c r="W410" s="368"/>
      <c r="X410" s="368"/>
      <c r="Y410" s="368"/>
      <c r="Z410" s="368"/>
      <c r="AA410" s="368"/>
      <c r="AB410" s="368"/>
    </row>
    <row r="411" spans="3:28" ht="18.95" customHeight="1" x14ac:dyDescent="0.3">
      <c r="C411" s="20"/>
      <c r="D411" s="47"/>
      <c r="E411" s="206"/>
      <c r="G411" s="152"/>
      <c r="N411" s="368"/>
      <c r="O411" s="368"/>
      <c r="P411" s="368"/>
      <c r="Q411" s="368"/>
      <c r="R411" s="368"/>
      <c r="S411" s="368"/>
      <c r="T411" s="368"/>
      <c r="U411" s="368"/>
      <c r="V411" s="368"/>
      <c r="W411" s="368"/>
      <c r="X411" s="368"/>
      <c r="Y411" s="368"/>
      <c r="Z411" s="368"/>
      <c r="AA411" s="368"/>
      <c r="AB411" s="368"/>
    </row>
    <row r="412" spans="3:28" ht="18.95" customHeight="1" x14ac:dyDescent="0.3">
      <c r="C412" s="20"/>
      <c r="D412" s="47"/>
      <c r="E412" s="206"/>
      <c r="G412" s="152"/>
      <c r="N412" s="368"/>
      <c r="O412" s="368"/>
      <c r="P412" s="368"/>
      <c r="Q412" s="368"/>
      <c r="R412" s="368"/>
      <c r="S412" s="368"/>
      <c r="T412" s="368"/>
      <c r="U412" s="368"/>
      <c r="V412" s="368"/>
      <c r="W412" s="368"/>
      <c r="X412" s="368"/>
      <c r="Y412" s="368"/>
      <c r="Z412" s="368"/>
      <c r="AA412" s="368"/>
      <c r="AB412" s="368"/>
    </row>
    <row r="413" spans="3:28" ht="18.95" customHeight="1" x14ac:dyDescent="0.3">
      <c r="C413" s="20"/>
      <c r="D413" s="47"/>
      <c r="E413" s="206"/>
      <c r="G413" s="152"/>
      <c r="N413" s="368"/>
      <c r="O413" s="368"/>
      <c r="P413" s="368"/>
      <c r="Q413" s="368"/>
      <c r="R413" s="368"/>
      <c r="S413" s="368"/>
      <c r="T413" s="368"/>
      <c r="U413" s="368"/>
      <c r="V413" s="368"/>
      <c r="W413" s="368"/>
      <c r="X413" s="368"/>
      <c r="Y413" s="368"/>
      <c r="Z413" s="368"/>
      <c r="AA413" s="368"/>
      <c r="AB413" s="368"/>
    </row>
    <row r="414" spans="3:28" ht="18.95" customHeight="1" x14ac:dyDescent="0.3">
      <c r="C414" s="20"/>
      <c r="D414" s="47"/>
      <c r="E414" s="206"/>
      <c r="G414" s="152"/>
      <c r="N414" s="368"/>
      <c r="O414" s="368"/>
      <c r="P414" s="368"/>
      <c r="Q414" s="368"/>
      <c r="R414" s="368"/>
      <c r="S414" s="368"/>
      <c r="T414" s="368"/>
      <c r="U414" s="368"/>
      <c r="V414" s="368"/>
      <c r="W414" s="368"/>
      <c r="X414" s="368"/>
      <c r="Y414" s="368"/>
      <c r="Z414" s="368"/>
      <c r="AA414" s="368"/>
      <c r="AB414" s="368"/>
    </row>
    <row r="415" spans="3:28" ht="18.95" customHeight="1" x14ac:dyDescent="0.3">
      <c r="C415" s="20"/>
      <c r="D415" s="47"/>
      <c r="E415" s="206"/>
      <c r="G415" s="152"/>
      <c r="N415" s="368"/>
      <c r="O415" s="368"/>
      <c r="P415" s="368"/>
      <c r="Q415" s="368"/>
      <c r="R415" s="368"/>
      <c r="S415" s="368"/>
      <c r="T415" s="368"/>
      <c r="U415" s="368"/>
      <c r="V415" s="368"/>
      <c r="W415" s="368"/>
      <c r="X415" s="368"/>
      <c r="Y415" s="368"/>
      <c r="Z415" s="368"/>
      <c r="AA415" s="368"/>
      <c r="AB415" s="368"/>
    </row>
    <row r="416" spans="3:28" ht="18.95" customHeight="1" x14ac:dyDescent="0.3">
      <c r="C416" s="20"/>
      <c r="D416" s="47"/>
      <c r="E416" s="206"/>
      <c r="G416" s="152"/>
      <c r="N416" s="368"/>
      <c r="O416" s="368"/>
      <c r="P416" s="368"/>
      <c r="Q416" s="368"/>
      <c r="R416" s="368"/>
      <c r="S416" s="368"/>
      <c r="T416" s="368"/>
      <c r="U416" s="368"/>
      <c r="V416" s="368"/>
      <c r="W416" s="368"/>
      <c r="X416" s="368"/>
      <c r="Y416" s="368"/>
      <c r="Z416" s="368"/>
      <c r="AA416" s="368"/>
      <c r="AB416" s="368"/>
    </row>
    <row r="417" spans="3:28" ht="18.95" customHeight="1" x14ac:dyDescent="0.3">
      <c r="C417" s="20"/>
      <c r="D417" s="47"/>
      <c r="E417" s="206"/>
      <c r="G417" s="152"/>
      <c r="N417" s="368"/>
      <c r="O417" s="368"/>
      <c r="P417" s="368"/>
      <c r="Q417" s="368"/>
      <c r="R417" s="368"/>
      <c r="S417" s="368"/>
      <c r="T417" s="368"/>
      <c r="U417" s="368"/>
      <c r="V417" s="368"/>
      <c r="W417" s="368"/>
      <c r="X417" s="368"/>
      <c r="Y417" s="368"/>
      <c r="Z417" s="368"/>
      <c r="AA417" s="368"/>
      <c r="AB417" s="368"/>
    </row>
    <row r="418" spans="3:28" ht="18.95" customHeight="1" x14ac:dyDescent="0.3">
      <c r="C418" s="20"/>
      <c r="D418" s="47"/>
      <c r="E418" s="206"/>
      <c r="G418" s="152"/>
      <c r="N418" s="368"/>
      <c r="O418" s="368"/>
      <c r="P418" s="368"/>
      <c r="Q418" s="368"/>
      <c r="R418" s="368"/>
      <c r="S418" s="368"/>
      <c r="T418" s="368"/>
      <c r="U418" s="368"/>
      <c r="V418" s="368"/>
      <c r="W418" s="368"/>
      <c r="X418" s="368"/>
      <c r="Y418" s="368"/>
      <c r="Z418" s="368"/>
      <c r="AA418" s="368"/>
      <c r="AB418" s="368"/>
    </row>
    <row r="419" spans="3:28" ht="18.95" customHeight="1" x14ac:dyDescent="0.3">
      <c r="C419" s="20"/>
      <c r="D419" s="47"/>
      <c r="E419" s="206"/>
      <c r="G419" s="152"/>
      <c r="N419" s="368"/>
      <c r="O419" s="368"/>
      <c r="P419" s="368"/>
      <c r="Q419" s="368"/>
      <c r="R419" s="368"/>
      <c r="S419" s="368"/>
      <c r="T419" s="368"/>
      <c r="U419" s="368"/>
      <c r="V419" s="368"/>
      <c r="W419" s="368"/>
      <c r="X419" s="368"/>
      <c r="Y419" s="368"/>
      <c r="Z419" s="368"/>
      <c r="AA419" s="368"/>
      <c r="AB419" s="368"/>
    </row>
    <row r="420" spans="3:28" ht="18.95" customHeight="1" x14ac:dyDescent="0.3">
      <c r="C420" s="20"/>
      <c r="D420" s="47"/>
      <c r="E420" s="206"/>
      <c r="G420" s="152"/>
      <c r="N420" s="368"/>
      <c r="O420" s="368"/>
      <c r="P420" s="368"/>
      <c r="Q420" s="368"/>
      <c r="R420" s="368"/>
      <c r="S420" s="368"/>
      <c r="T420" s="368"/>
      <c r="U420" s="368"/>
      <c r="V420" s="368"/>
      <c r="W420" s="368"/>
      <c r="X420" s="368"/>
      <c r="Y420" s="368"/>
      <c r="Z420" s="368"/>
      <c r="AA420" s="368"/>
      <c r="AB420" s="368"/>
    </row>
    <row r="421" spans="3:28" ht="18.95" customHeight="1" x14ac:dyDescent="0.3">
      <c r="C421" s="20"/>
      <c r="D421" s="47"/>
      <c r="E421" s="206"/>
      <c r="G421" s="152"/>
      <c r="N421" s="368"/>
      <c r="O421" s="368"/>
      <c r="P421" s="368"/>
      <c r="Q421" s="368"/>
      <c r="R421" s="368"/>
      <c r="S421" s="368"/>
      <c r="T421" s="368"/>
      <c r="U421" s="368"/>
      <c r="V421" s="368"/>
      <c r="W421" s="368"/>
      <c r="X421" s="368"/>
      <c r="Y421" s="368"/>
      <c r="Z421" s="368"/>
      <c r="AA421" s="368"/>
      <c r="AB421" s="368"/>
    </row>
    <row r="422" spans="3:28" ht="18.95" customHeight="1" x14ac:dyDescent="0.3">
      <c r="G422" s="152"/>
      <c r="N422" s="368"/>
      <c r="O422" s="368"/>
      <c r="P422" s="368"/>
      <c r="Q422" s="368"/>
      <c r="R422" s="368"/>
      <c r="S422" s="368"/>
      <c r="T422" s="368"/>
      <c r="U422" s="368"/>
      <c r="V422" s="368"/>
      <c r="W422" s="368"/>
      <c r="X422" s="368"/>
      <c r="Y422" s="368"/>
      <c r="Z422" s="368"/>
      <c r="AA422" s="368"/>
      <c r="AB422" s="368"/>
    </row>
    <row r="423" spans="3:28" x14ac:dyDescent="0.3">
      <c r="N423" s="368"/>
      <c r="O423" s="368"/>
      <c r="P423" s="368"/>
      <c r="Q423" s="368"/>
      <c r="R423" s="368"/>
      <c r="S423" s="368"/>
      <c r="T423" s="368"/>
      <c r="U423" s="368"/>
      <c r="V423" s="368"/>
      <c r="W423" s="368"/>
      <c r="X423" s="368"/>
      <c r="Y423" s="368"/>
      <c r="Z423" s="368"/>
      <c r="AA423" s="368"/>
      <c r="AB423" s="368"/>
    </row>
    <row r="424" spans="3:28" x14ac:dyDescent="0.3">
      <c r="N424" s="368"/>
      <c r="O424" s="368"/>
      <c r="P424" s="368"/>
      <c r="Q424" s="368"/>
      <c r="R424" s="368"/>
      <c r="S424" s="368"/>
      <c r="T424" s="368"/>
      <c r="U424" s="368"/>
      <c r="V424" s="368"/>
      <c r="W424" s="368"/>
      <c r="X424" s="368"/>
      <c r="Y424" s="368"/>
      <c r="Z424" s="368"/>
      <c r="AA424" s="368"/>
      <c r="AB424" s="368"/>
    </row>
    <row r="425" spans="3:28" x14ac:dyDescent="0.3">
      <c r="N425" s="368"/>
      <c r="O425" s="368"/>
      <c r="P425" s="368"/>
      <c r="Q425" s="368"/>
      <c r="R425" s="368"/>
      <c r="S425" s="368"/>
      <c r="T425" s="368"/>
      <c r="U425" s="368"/>
      <c r="V425" s="368"/>
      <c r="W425" s="368"/>
      <c r="X425" s="368"/>
      <c r="Y425" s="368"/>
      <c r="Z425" s="368"/>
      <c r="AA425" s="368"/>
      <c r="AB425" s="368"/>
    </row>
    <row r="426" spans="3:28" x14ac:dyDescent="0.3">
      <c r="N426" s="368"/>
      <c r="O426" s="368"/>
      <c r="P426" s="368"/>
      <c r="Q426" s="368"/>
      <c r="R426" s="368"/>
      <c r="S426" s="368"/>
      <c r="T426" s="368"/>
      <c r="U426" s="368"/>
      <c r="V426" s="368"/>
      <c r="W426" s="368"/>
      <c r="X426" s="368"/>
      <c r="Y426" s="368"/>
      <c r="Z426" s="368"/>
      <c r="AA426" s="368"/>
      <c r="AB426" s="368"/>
    </row>
    <row r="427" spans="3:28" x14ac:dyDescent="0.3">
      <c r="N427" s="368"/>
      <c r="O427" s="368"/>
      <c r="P427" s="368"/>
      <c r="Q427" s="368"/>
      <c r="R427" s="368"/>
      <c r="S427" s="368"/>
      <c r="T427" s="368"/>
      <c r="U427" s="368"/>
      <c r="V427" s="368"/>
      <c r="W427" s="368"/>
      <c r="X427" s="368"/>
      <c r="Y427" s="368"/>
      <c r="Z427" s="368"/>
      <c r="AA427" s="368"/>
      <c r="AB427" s="368"/>
    </row>
    <row r="428" spans="3:28" x14ac:dyDescent="0.3">
      <c r="N428" s="368"/>
      <c r="O428" s="368"/>
      <c r="P428" s="368"/>
      <c r="Q428" s="368"/>
      <c r="R428" s="368"/>
      <c r="S428" s="368"/>
      <c r="T428" s="368"/>
      <c r="U428" s="368"/>
      <c r="V428" s="368"/>
      <c r="W428" s="368"/>
      <c r="X428" s="368"/>
      <c r="Y428" s="368"/>
      <c r="Z428" s="368"/>
      <c r="AA428" s="368"/>
      <c r="AB428" s="368"/>
    </row>
    <row r="429" spans="3:28" x14ac:dyDescent="0.3">
      <c r="N429" s="368"/>
      <c r="O429" s="368"/>
      <c r="P429" s="368"/>
      <c r="Q429" s="368"/>
      <c r="R429" s="368"/>
      <c r="S429" s="368"/>
      <c r="T429" s="368"/>
      <c r="U429" s="368"/>
      <c r="V429" s="368"/>
      <c r="W429" s="368"/>
      <c r="X429" s="368"/>
      <c r="Y429" s="368"/>
      <c r="Z429" s="368"/>
      <c r="AA429" s="368"/>
      <c r="AB429" s="368"/>
    </row>
    <row r="430" spans="3:28" x14ac:dyDescent="0.3">
      <c r="N430" s="368"/>
      <c r="O430" s="368"/>
      <c r="P430" s="368"/>
      <c r="Q430" s="368"/>
      <c r="R430" s="368"/>
      <c r="S430" s="368"/>
      <c r="T430" s="368"/>
      <c r="U430" s="368"/>
      <c r="V430" s="368"/>
      <c r="W430" s="368"/>
      <c r="X430" s="368"/>
      <c r="Y430" s="368"/>
      <c r="Z430" s="368"/>
      <c r="AA430" s="368"/>
      <c r="AB430" s="368"/>
    </row>
    <row r="431" spans="3:28" x14ac:dyDescent="0.3">
      <c r="N431" s="368"/>
      <c r="O431" s="368"/>
      <c r="P431" s="368"/>
      <c r="Q431" s="368"/>
      <c r="R431" s="368"/>
      <c r="S431" s="368"/>
      <c r="T431" s="368"/>
      <c r="U431" s="368"/>
      <c r="V431" s="368"/>
      <c r="W431" s="368"/>
      <c r="X431" s="368"/>
      <c r="Y431" s="368"/>
      <c r="Z431" s="368"/>
      <c r="AA431" s="368"/>
      <c r="AB431" s="368"/>
    </row>
    <row r="432" spans="3:28" x14ac:dyDescent="0.3">
      <c r="N432" s="368"/>
      <c r="O432" s="368"/>
      <c r="P432" s="368"/>
      <c r="Q432" s="368"/>
      <c r="R432" s="368"/>
      <c r="S432" s="368"/>
      <c r="T432" s="368"/>
      <c r="U432" s="368"/>
      <c r="V432" s="368"/>
      <c r="W432" s="368"/>
      <c r="X432" s="368"/>
      <c r="Y432" s="368"/>
      <c r="Z432" s="368"/>
      <c r="AA432" s="368"/>
      <c r="AB432" s="368"/>
    </row>
    <row r="433" spans="14:28" x14ac:dyDescent="0.3">
      <c r="N433" s="368"/>
      <c r="O433" s="368"/>
      <c r="P433" s="368"/>
      <c r="Q433" s="368"/>
      <c r="R433" s="368"/>
      <c r="S433" s="368"/>
      <c r="T433" s="368"/>
      <c r="U433" s="368"/>
      <c r="V433" s="368"/>
      <c r="W433" s="368"/>
      <c r="X433" s="368"/>
      <c r="Y433" s="368"/>
      <c r="Z433" s="368"/>
      <c r="AA433" s="368"/>
      <c r="AB433" s="368"/>
    </row>
    <row r="434" spans="14:28" x14ac:dyDescent="0.3">
      <c r="N434" s="368"/>
      <c r="O434" s="368"/>
      <c r="P434" s="368"/>
      <c r="Q434" s="368"/>
      <c r="R434" s="368"/>
      <c r="S434" s="368"/>
      <c r="T434" s="368"/>
      <c r="U434" s="368"/>
      <c r="V434" s="368"/>
      <c r="W434" s="368"/>
      <c r="X434" s="368"/>
      <c r="Y434" s="368"/>
      <c r="Z434" s="368"/>
      <c r="AA434" s="368"/>
      <c r="AB434" s="368"/>
    </row>
    <row r="435" spans="14:28" x14ac:dyDescent="0.3">
      <c r="N435" s="368"/>
      <c r="O435" s="368"/>
      <c r="P435" s="368"/>
      <c r="Q435" s="368"/>
      <c r="R435" s="368"/>
      <c r="S435" s="368"/>
      <c r="T435" s="368"/>
      <c r="U435" s="368"/>
      <c r="V435" s="368"/>
      <c r="W435" s="368"/>
      <c r="X435" s="368"/>
      <c r="Y435" s="368"/>
      <c r="Z435" s="368"/>
      <c r="AA435" s="368"/>
      <c r="AB435" s="368"/>
    </row>
    <row r="436" spans="14:28" x14ac:dyDescent="0.3">
      <c r="N436" s="368"/>
      <c r="O436" s="368"/>
      <c r="P436" s="368"/>
      <c r="Q436" s="368"/>
      <c r="R436" s="368"/>
      <c r="S436" s="368"/>
      <c r="T436" s="368"/>
      <c r="U436" s="368"/>
      <c r="V436" s="368"/>
      <c r="W436" s="368"/>
      <c r="X436" s="368"/>
      <c r="Y436" s="368"/>
      <c r="Z436" s="368"/>
      <c r="AA436" s="368"/>
      <c r="AB436" s="368"/>
    </row>
    <row r="437" spans="14:28" x14ac:dyDescent="0.3">
      <c r="N437" s="368"/>
      <c r="O437" s="368"/>
      <c r="P437" s="368"/>
      <c r="Q437" s="368"/>
      <c r="R437" s="368"/>
      <c r="S437" s="368"/>
      <c r="T437" s="368"/>
      <c r="U437" s="368"/>
      <c r="V437" s="368"/>
      <c r="W437" s="368"/>
      <c r="X437" s="368"/>
      <c r="Y437" s="368"/>
      <c r="Z437" s="368"/>
      <c r="AA437" s="368"/>
      <c r="AB437" s="368"/>
    </row>
    <row r="438" spans="14:28" x14ac:dyDescent="0.3">
      <c r="N438" s="368"/>
      <c r="O438" s="368"/>
      <c r="P438" s="368"/>
      <c r="Q438" s="368"/>
      <c r="R438" s="368"/>
      <c r="S438" s="368"/>
      <c r="T438" s="368"/>
      <c r="U438" s="368"/>
      <c r="V438" s="368"/>
      <c r="W438" s="368"/>
      <c r="X438" s="368"/>
      <c r="Y438" s="368"/>
      <c r="Z438" s="368"/>
      <c r="AA438" s="368"/>
      <c r="AB438" s="368"/>
    </row>
    <row r="439" spans="14:28" x14ac:dyDescent="0.3">
      <c r="N439" s="368"/>
      <c r="O439" s="368"/>
      <c r="P439" s="368"/>
      <c r="Q439" s="368"/>
      <c r="R439" s="368"/>
      <c r="S439" s="368"/>
      <c r="T439" s="368"/>
      <c r="U439" s="368"/>
      <c r="V439" s="368"/>
      <c r="W439" s="368"/>
      <c r="X439" s="368"/>
      <c r="Y439" s="368"/>
      <c r="Z439" s="368"/>
      <c r="AA439" s="368"/>
      <c r="AB439" s="368"/>
    </row>
    <row r="440" spans="14:28" x14ac:dyDescent="0.3">
      <c r="N440" s="368"/>
      <c r="O440" s="368"/>
      <c r="P440" s="368"/>
      <c r="Q440" s="368"/>
      <c r="R440" s="368"/>
      <c r="S440" s="368"/>
      <c r="T440" s="368"/>
      <c r="U440" s="368"/>
      <c r="V440" s="368"/>
      <c r="W440" s="368"/>
      <c r="X440" s="368"/>
      <c r="Y440" s="368"/>
      <c r="Z440" s="368"/>
      <c r="AA440" s="368"/>
      <c r="AB440" s="368"/>
    </row>
    <row r="441" spans="14:28" x14ac:dyDescent="0.3">
      <c r="N441" s="368"/>
      <c r="O441" s="368"/>
      <c r="P441" s="368"/>
      <c r="Q441" s="368"/>
      <c r="R441" s="368"/>
      <c r="S441" s="368"/>
      <c r="T441" s="368"/>
      <c r="U441" s="368"/>
      <c r="V441" s="368"/>
      <c r="W441" s="368"/>
      <c r="X441" s="368"/>
      <c r="Y441" s="368"/>
      <c r="Z441" s="368"/>
      <c r="AA441" s="368"/>
      <c r="AB441" s="368"/>
    </row>
    <row r="442" spans="14:28" x14ac:dyDescent="0.3">
      <c r="N442" s="368"/>
      <c r="O442" s="368"/>
      <c r="P442" s="368"/>
      <c r="Q442" s="368"/>
      <c r="R442" s="368"/>
      <c r="S442" s="368"/>
      <c r="T442" s="368"/>
      <c r="U442" s="368"/>
      <c r="V442" s="368"/>
      <c r="W442" s="368"/>
      <c r="X442" s="368"/>
      <c r="Y442" s="368"/>
      <c r="Z442" s="368"/>
      <c r="AA442" s="368"/>
      <c r="AB442" s="368"/>
    </row>
    <row r="443" spans="14:28" x14ac:dyDescent="0.3">
      <c r="N443" s="368"/>
      <c r="O443" s="368"/>
      <c r="P443" s="368"/>
      <c r="Q443" s="368"/>
      <c r="R443" s="368"/>
      <c r="S443" s="368"/>
      <c r="T443" s="368"/>
      <c r="U443" s="368"/>
      <c r="V443" s="368"/>
      <c r="W443" s="368"/>
      <c r="X443" s="368"/>
      <c r="Y443" s="368"/>
      <c r="Z443" s="368"/>
      <c r="AA443" s="368"/>
      <c r="AB443" s="368"/>
    </row>
    <row r="444" spans="14:28" x14ac:dyDescent="0.3">
      <c r="N444" s="368"/>
      <c r="O444" s="368"/>
      <c r="P444" s="368"/>
      <c r="Q444" s="368"/>
      <c r="R444" s="368"/>
      <c r="S444" s="368"/>
      <c r="T444" s="368"/>
      <c r="U444" s="368"/>
      <c r="V444" s="368"/>
      <c r="W444" s="368"/>
      <c r="X444" s="368"/>
      <c r="Y444" s="368"/>
      <c r="Z444" s="368"/>
      <c r="AA444" s="368"/>
      <c r="AB444" s="368"/>
    </row>
    <row r="445" spans="14:28" x14ac:dyDescent="0.3">
      <c r="N445" s="368"/>
      <c r="O445" s="368"/>
      <c r="P445" s="368"/>
      <c r="Q445" s="368"/>
      <c r="R445" s="368"/>
      <c r="S445" s="368"/>
      <c r="T445" s="368"/>
      <c r="U445" s="368"/>
      <c r="V445" s="368"/>
      <c r="W445" s="368"/>
      <c r="X445" s="368"/>
      <c r="Y445" s="368"/>
      <c r="Z445" s="368"/>
      <c r="AA445" s="368"/>
      <c r="AB445" s="368"/>
    </row>
    <row r="446" spans="14:28" x14ac:dyDescent="0.3">
      <c r="N446" s="368"/>
      <c r="O446" s="368"/>
      <c r="P446" s="368"/>
      <c r="Q446" s="368"/>
      <c r="R446" s="368"/>
      <c r="S446" s="368"/>
      <c r="T446" s="368"/>
      <c r="U446" s="368"/>
      <c r="V446" s="368"/>
      <c r="W446" s="368"/>
      <c r="X446" s="368"/>
      <c r="Y446" s="368"/>
      <c r="Z446" s="368"/>
      <c r="AA446" s="368"/>
      <c r="AB446" s="368"/>
    </row>
    <row r="447" spans="14:28" x14ac:dyDescent="0.3">
      <c r="N447" s="368"/>
      <c r="O447" s="368"/>
      <c r="P447" s="368"/>
      <c r="Q447" s="368"/>
      <c r="R447" s="368"/>
      <c r="S447" s="368"/>
      <c r="T447" s="368"/>
      <c r="U447" s="368"/>
      <c r="V447" s="368"/>
      <c r="W447" s="368"/>
      <c r="X447" s="368"/>
      <c r="Y447" s="368"/>
      <c r="Z447" s="368"/>
      <c r="AA447" s="368"/>
      <c r="AB447" s="368"/>
    </row>
    <row r="448" spans="14:28" x14ac:dyDescent="0.3">
      <c r="N448" s="368"/>
      <c r="O448" s="368"/>
      <c r="P448" s="368"/>
      <c r="Q448" s="368"/>
      <c r="R448" s="368"/>
      <c r="S448" s="368"/>
      <c r="T448" s="368"/>
      <c r="U448" s="368"/>
      <c r="V448" s="368"/>
      <c r="W448" s="368"/>
      <c r="X448" s="368"/>
      <c r="Y448" s="368"/>
      <c r="Z448" s="368"/>
      <c r="AA448" s="368"/>
      <c r="AB448" s="368"/>
    </row>
    <row r="449" spans="14:28" x14ac:dyDescent="0.3">
      <c r="N449" s="368"/>
      <c r="O449" s="368"/>
      <c r="P449" s="368"/>
      <c r="Q449" s="368"/>
      <c r="R449" s="368"/>
      <c r="S449" s="368"/>
      <c r="T449" s="368"/>
      <c r="U449" s="368"/>
      <c r="V449" s="368"/>
      <c r="W449" s="368"/>
      <c r="X449" s="368"/>
      <c r="Y449" s="368"/>
      <c r="Z449" s="368"/>
      <c r="AA449" s="368"/>
      <c r="AB449" s="368"/>
    </row>
    <row r="450" spans="14:28" x14ac:dyDescent="0.3">
      <c r="N450" s="368"/>
      <c r="O450" s="368"/>
      <c r="P450" s="368"/>
      <c r="Q450" s="368"/>
      <c r="R450" s="368"/>
      <c r="S450" s="368"/>
      <c r="T450" s="368"/>
      <c r="U450" s="368"/>
      <c r="V450" s="368"/>
      <c r="W450" s="368"/>
      <c r="X450" s="368"/>
      <c r="Y450" s="368"/>
      <c r="Z450" s="368"/>
      <c r="AA450" s="368"/>
      <c r="AB450" s="368"/>
    </row>
    <row r="451" spans="14:28" x14ac:dyDescent="0.3">
      <c r="N451" s="368"/>
      <c r="O451" s="368"/>
      <c r="P451" s="368"/>
      <c r="Q451" s="368"/>
      <c r="R451" s="368"/>
      <c r="S451" s="368"/>
      <c r="T451" s="368"/>
      <c r="U451" s="368"/>
      <c r="V451" s="368"/>
      <c r="W451" s="368"/>
      <c r="X451" s="368"/>
      <c r="Y451" s="368"/>
      <c r="Z451" s="368"/>
      <c r="AA451" s="368"/>
      <c r="AB451" s="368"/>
    </row>
    <row r="452" spans="14:28" x14ac:dyDescent="0.3">
      <c r="N452" s="368"/>
      <c r="O452" s="368"/>
      <c r="P452" s="368"/>
      <c r="Q452" s="368"/>
      <c r="R452" s="368"/>
      <c r="S452" s="368"/>
      <c r="T452" s="368"/>
      <c r="U452" s="368"/>
      <c r="V452" s="368"/>
      <c r="W452" s="368"/>
      <c r="X452" s="368"/>
      <c r="Y452" s="368"/>
      <c r="Z452" s="368"/>
      <c r="AA452" s="368"/>
      <c r="AB452" s="368"/>
    </row>
    <row r="453" spans="14:28" x14ac:dyDescent="0.3">
      <c r="N453" s="368"/>
      <c r="O453" s="368"/>
      <c r="P453" s="368"/>
      <c r="Q453" s="368"/>
      <c r="R453" s="368"/>
      <c r="S453" s="368"/>
      <c r="T453" s="368"/>
      <c r="U453" s="368"/>
      <c r="V453" s="368"/>
      <c r="W453" s="368"/>
      <c r="X453" s="368"/>
      <c r="Y453" s="368"/>
      <c r="Z453" s="368"/>
      <c r="AA453" s="368"/>
      <c r="AB453" s="368"/>
    </row>
    <row r="454" spans="14:28" x14ac:dyDescent="0.3">
      <c r="N454" s="368"/>
      <c r="O454" s="368"/>
      <c r="P454" s="368"/>
      <c r="Q454" s="368"/>
      <c r="R454" s="368"/>
      <c r="S454" s="368"/>
      <c r="T454" s="368"/>
      <c r="U454" s="368"/>
      <c r="V454" s="368"/>
      <c r="W454" s="368"/>
      <c r="X454" s="368"/>
      <c r="Y454" s="368"/>
      <c r="Z454" s="368"/>
      <c r="AA454" s="368"/>
      <c r="AB454" s="368"/>
    </row>
    <row r="455" spans="14:28" x14ac:dyDescent="0.3">
      <c r="N455" s="368"/>
      <c r="O455" s="368"/>
      <c r="P455" s="368"/>
      <c r="Q455" s="368"/>
      <c r="R455" s="368"/>
      <c r="S455" s="368"/>
      <c r="T455" s="368"/>
      <c r="U455" s="368"/>
      <c r="V455" s="368"/>
      <c r="W455" s="368"/>
      <c r="X455" s="368"/>
      <c r="Y455" s="368"/>
      <c r="Z455" s="368"/>
      <c r="AA455" s="368"/>
      <c r="AB455" s="368"/>
    </row>
    <row r="456" spans="14:28" x14ac:dyDescent="0.3">
      <c r="N456" s="368"/>
      <c r="O456" s="368"/>
      <c r="P456" s="368"/>
      <c r="Q456" s="368"/>
      <c r="R456" s="368"/>
      <c r="S456" s="368"/>
      <c r="T456" s="368"/>
      <c r="U456" s="368"/>
      <c r="V456" s="368"/>
      <c r="W456" s="368"/>
      <c r="X456" s="368"/>
      <c r="Y456" s="368"/>
      <c r="Z456" s="368"/>
      <c r="AA456" s="368"/>
      <c r="AB456" s="368"/>
    </row>
    <row r="457" spans="14:28" x14ac:dyDescent="0.3">
      <c r="N457" s="368"/>
      <c r="O457" s="368"/>
      <c r="P457" s="368"/>
      <c r="Q457" s="368"/>
      <c r="R457" s="368"/>
      <c r="S457" s="368"/>
      <c r="T457" s="368"/>
      <c r="U457" s="368"/>
      <c r="V457" s="368"/>
      <c r="W457" s="368"/>
      <c r="X457" s="368"/>
      <c r="Y457" s="368"/>
      <c r="Z457" s="368"/>
      <c r="AA457" s="368"/>
      <c r="AB457" s="368"/>
    </row>
    <row r="458" spans="14:28" x14ac:dyDescent="0.3">
      <c r="N458" s="368"/>
      <c r="O458" s="368"/>
      <c r="P458" s="368"/>
      <c r="Q458" s="368"/>
      <c r="R458" s="368"/>
      <c r="S458" s="368"/>
      <c r="T458" s="368"/>
      <c r="U458" s="368"/>
      <c r="V458" s="368"/>
      <c r="W458" s="368"/>
      <c r="X458" s="368"/>
      <c r="Y458" s="368"/>
      <c r="Z458" s="368"/>
      <c r="AA458" s="368"/>
      <c r="AB458" s="368"/>
    </row>
  </sheetData>
  <mergeCells count="116">
    <mergeCell ref="G89:L89"/>
    <mergeCell ref="G81:M81"/>
    <mergeCell ref="G162:M163"/>
    <mergeCell ref="H140:L140"/>
    <mergeCell ref="H143:L143"/>
    <mergeCell ref="G145:M145"/>
    <mergeCell ref="G102:M102"/>
    <mergeCell ref="G79:M79"/>
    <mergeCell ref="G128:M128"/>
    <mergeCell ref="G134:M134"/>
    <mergeCell ref="H129:L129"/>
    <mergeCell ref="A87:C87"/>
    <mergeCell ref="D87:D88"/>
    <mergeCell ref="E87:E88"/>
    <mergeCell ref="F87:F88"/>
    <mergeCell ref="G65:M65"/>
    <mergeCell ref="G51:M51"/>
    <mergeCell ref="G44:L44"/>
    <mergeCell ref="A42:C42"/>
    <mergeCell ref="E42:E43"/>
    <mergeCell ref="F42:F43"/>
    <mergeCell ref="D42:D43"/>
    <mergeCell ref="G47:M47"/>
    <mergeCell ref="F3:F4"/>
    <mergeCell ref="G30:M30"/>
    <mergeCell ref="A3:C3"/>
    <mergeCell ref="D3:D4"/>
    <mergeCell ref="E3:E4"/>
    <mergeCell ref="G24:M24"/>
    <mergeCell ref="G17:M17"/>
    <mergeCell ref="G6:M6"/>
    <mergeCell ref="G7:M7"/>
    <mergeCell ref="G16:M16"/>
    <mergeCell ref="G25:M25"/>
    <mergeCell ref="G23:M23"/>
    <mergeCell ref="G10:M10"/>
    <mergeCell ref="G8:M8"/>
    <mergeCell ref="G13:M13"/>
    <mergeCell ref="G3:M4"/>
    <mergeCell ref="G21:M21"/>
    <mergeCell ref="G15:M15"/>
    <mergeCell ref="G29:M29"/>
    <mergeCell ref="G5:L5"/>
    <mergeCell ref="G31:M31"/>
    <mergeCell ref="G42:M43"/>
    <mergeCell ref="G52:M52"/>
    <mergeCell ref="G62:M62"/>
    <mergeCell ref="G73:M73"/>
    <mergeCell ref="G77:M77"/>
    <mergeCell ref="G61:M61"/>
    <mergeCell ref="G78:L78"/>
    <mergeCell ref="G36:M36"/>
    <mergeCell ref="G37:M37"/>
    <mergeCell ref="G66:M66"/>
    <mergeCell ref="G74:M74"/>
    <mergeCell ref="A200:C200"/>
    <mergeCell ref="D200:D201"/>
    <mergeCell ref="E200:E201"/>
    <mergeCell ref="F200:F201"/>
    <mergeCell ref="G200:M201"/>
    <mergeCell ref="A125:C125"/>
    <mergeCell ref="D125:D126"/>
    <mergeCell ref="E125:E126"/>
    <mergeCell ref="F125:F126"/>
    <mergeCell ref="G125:M126"/>
    <mergeCell ref="G154:M154"/>
    <mergeCell ref="G164:M164"/>
    <mergeCell ref="G168:M168"/>
    <mergeCell ref="G135:M135"/>
    <mergeCell ref="H136:L136"/>
    <mergeCell ref="G146:M146"/>
    <mergeCell ref="H147:L147"/>
    <mergeCell ref="G153:M153"/>
    <mergeCell ref="A162:C162"/>
    <mergeCell ref="D162:D163"/>
    <mergeCell ref="G178:M178"/>
    <mergeCell ref="G186:M186"/>
    <mergeCell ref="G197:M197"/>
    <mergeCell ref="G185:M185"/>
    <mergeCell ref="G202:M202"/>
    <mergeCell ref="G190:M190"/>
    <mergeCell ref="G167:M167"/>
    <mergeCell ref="G159:M159"/>
    <mergeCell ref="G209:M209"/>
    <mergeCell ref="G172:M172"/>
    <mergeCell ref="G179:M179"/>
    <mergeCell ref="H180:M180"/>
    <mergeCell ref="H183:M183"/>
    <mergeCell ref="H187:M187"/>
    <mergeCell ref="H176:L176"/>
    <mergeCell ref="G207:L207"/>
    <mergeCell ref="G206:M206"/>
    <mergeCell ref="G212:L212"/>
    <mergeCell ref="E162:E163"/>
    <mergeCell ref="F162:F163"/>
    <mergeCell ref="G215:L215"/>
    <mergeCell ref="G45:L45"/>
    <mergeCell ref="G46:L46"/>
    <mergeCell ref="G87:M88"/>
    <mergeCell ref="G84:M84"/>
    <mergeCell ref="G82:M82"/>
    <mergeCell ref="G210:L210"/>
    <mergeCell ref="G115:M115"/>
    <mergeCell ref="G119:M119"/>
    <mergeCell ref="G101:M101"/>
    <mergeCell ref="G111:M111"/>
    <mergeCell ref="G94:M94"/>
    <mergeCell ref="G116:L116"/>
    <mergeCell ref="G127:L127"/>
    <mergeCell ref="G90:M90"/>
    <mergeCell ref="G106:M106"/>
    <mergeCell ref="G93:M93"/>
    <mergeCell ref="G122:M122"/>
    <mergeCell ref="G120:M120"/>
    <mergeCell ref="G117:M117"/>
    <mergeCell ref="G112:M112"/>
  </mergeCells>
  <phoneticPr fontId="15" type="noConversion"/>
  <printOptions horizontalCentered="1" verticalCentered="1"/>
  <pageMargins left="0.51181102362204722" right="0.51181102362204722" top="1.1417322834645669" bottom="0.43307086614173229" header="0.59055118110236227" footer="0.31496062992125984"/>
  <pageSetup paperSize="9" scale="70" firstPageNumber="9" fitToHeight="0" orientation="landscape" cellComments="asDisplayed" useFirstPageNumber="1" r:id="rId1"/>
  <headerFooter>
    <oddHeader>&amp;C&amp;"맑은 고딕,굵게"&amp;18 2025년 한국뇌성마비복지회부산울산경남지회 예산(안) 세입.세출 명세서</oddHeader>
  </headerFooter>
  <rowBreaks count="4" manualBreakCount="4">
    <brk id="39" max="12" man="1"/>
    <brk id="84" max="12" man="1"/>
    <brk id="122" max="12" man="1"/>
    <brk id="197" max="12" man="1"/>
  </rowBreaks>
  <ignoredErrors>
    <ignoredError sqref="R30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zoomScaleNormal="100" workbookViewId="0">
      <selection activeCell="H20" sqref="H20"/>
    </sheetView>
  </sheetViews>
  <sheetFormatPr defaultColWidth="8.875" defaultRowHeight="16.5" x14ac:dyDescent="0.3"/>
  <sheetData/>
  <phoneticPr fontId="15" type="noConversion"/>
  <pageMargins left="0" right="0.1180555522441864" top="0.74791663885116577" bottom="0.74791663885116577" header="0.31430554389953613" footer="0.3143055438995361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비율표</vt:lpstr>
      <vt:lpstr>예산총칙</vt:lpstr>
      <vt:lpstr>예산총괄표</vt:lpstr>
      <vt:lpstr>세입세출</vt:lpstr>
      <vt:lpstr>별첨 인건비 편성내역</vt:lpstr>
      <vt:lpstr>세입세출!Consolidate_Area</vt:lpstr>
      <vt:lpstr>예산총괄표!Consolidate_Area</vt:lpstr>
      <vt:lpstr>예산총칙!Consolidate_Area</vt:lpstr>
      <vt:lpstr>비율표!Print_Area</vt:lpstr>
      <vt:lpstr>세입세출!Print_Area</vt:lpstr>
      <vt:lpstr>예산총괄표!Print_Area</vt:lpstr>
      <vt:lpstr>예산총칙!Print_Area</vt:lpstr>
      <vt:lpstr>예산총괄표!Print_Titles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LG</cp:lastModifiedBy>
  <cp:revision>39</cp:revision>
  <cp:lastPrinted>2024-12-06T05:10:12Z</cp:lastPrinted>
  <dcterms:created xsi:type="dcterms:W3CDTF">2011-06-23T01:05:00Z</dcterms:created>
  <dcterms:modified xsi:type="dcterms:W3CDTF">2024-12-12T08:37:32Z</dcterms:modified>
</cp:coreProperties>
</file>